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3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rines de la Torre\Downloads\"/>
    </mc:Choice>
  </mc:AlternateContent>
  <xr:revisionPtr revIDLastSave="0" documentId="13_ncr:1_{2695DA2B-E1DA-4086-ADB6-1DA0970E46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ciones" sheetId="5" r:id="rId1"/>
    <sheet name="Presupuesto Personal" sheetId="7" r:id="rId2"/>
    <sheet name="Ejemplo" sheetId="6" r:id="rId3"/>
  </sheets>
  <externalReferences>
    <externalReference r:id="rId4"/>
    <externalReference r:id="rId5"/>
    <externalReference r:id="rId6"/>
  </externalReferences>
  <definedNames>
    <definedName name="_xlnm.Print_Area" localSheetId="2">Ejemplo!$B$1:$M$62</definedName>
    <definedName name="_xlnm.Print_Area" localSheetId="1">'Presupuesto Personal'!$B$1:$M$62</definedName>
    <definedName name="Comprobantes">'[1]Tabla de Comprobantes'!$A$3:$A$65</definedName>
    <definedName name="Costo">OFFSET([2]!Tabla1[[#Headers],[Costo Total]],1,,COUNTIF([2]!Tabla1[Costo Total],"&lt;&gt;0"))</definedName>
    <definedName name="Feriados">[3]Feriados!$B$6:$C$28</definedName>
    <definedName name="Ingreso">OFFSET([2]!Tabla1[[#Headers],[Ingreso Total]],1,,COUNTIF([2]!Tabla1[Ingreso Total],"&lt;&gt;0"))</definedName>
    <definedName name="PC">'[1]Tabla de Comprobantes'!$E$3:$E$14</definedName>
    <definedName name="Resultado_">OFFSET([2]!Tabla1[[#Headers],[Resultado]],1,,COUNTIF([2]!Tabla1[Resultado],"&lt;&gt;0"))</definedName>
    <definedName name="Servicio">OFFSET([2]!Tabla1[[#Headers],[Servicio ]],1,,COUNTA([2]!Tabla1[[Servicio ]])-COUNTIF([2]!Tabla1[[Servicio ]],"")-1)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K45" i="7"/>
  <c r="K46" i="7"/>
  <c r="K47" i="7"/>
  <c r="K48" i="7"/>
  <c r="I49" i="7"/>
  <c r="J49" i="7"/>
  <c r="K49" i="7"/>
  <c r="E82" i="7"/>
  <c r="D82" i="7"/>
  <c r="F81" i="7"/>
  <c r="F80" i="7"/>
  <c r="F79" i="7"/>
  <c r="F78" i="7"/>
  <c r="F77" i="7"/>
  <c r="F76" i="7"/>
  <c r="J75" i="7"/>
  <c r="I75" i="7"/>
  <c r="F75" i="7"/>
  <c r="K74" i="7"/>
  <c r="K73" i="7"/>
  <c r="K72" i="7"/>
  <c r="K71" i="7"/>
  <c r="E71" i="7"/>
  <c r="D71" i="7"/>
  <c r="K70" i="7"/>
  <c r="F70" i="7"/>
  <c r="K69" i="7"/>
  <c r="F69" i="7"/>
  <c r="K68" i="7"/>
  <c r="F68" i="7"/>
  <c r="K67" i="7"/>
  <c r="F67" i="7"/>
  <c r="K66" i="7"/>
  <c r="F66" i="7"/>
  <c r="F71" i="7" s="1"/>
  <c r="J63" i="7"/>
  <c r="I63" i="7"/>
  <c r="K62" i="7"/>
  <c r="E62" i="7"/>
  <c r="D62" i="7"/>
  <c r="K61" i="7"/>
  <c r="F61" i="7"/>
  <c r="K60" i="7"/>
  <c r="F60" i="7"/>
  <c r="K59" i="7"/>
  <c r="F59" i="7"/>
  <c r="E56" i="7"/>
  <c r="D56" i="7"/>
  <c r="J55" i="7"/>
  <c r="I55" i="7"/>
  <c r="F55" i="7"/>
  <c r="K54" i="7"/>
  <c r="F54" i="7"/>
  <c r="K53" i="7"/>
  <c r="F53" i="7"/>
  <c r="K52" i="7"/>
  <c r="F52" i="7"/>
  <c r="F51" i="7"/>
  <c r="F50" i="7"/>
  <c r="F49" i="7"/>
  <c r="E46" i="7"/>
  <c r="D46" i="7"/>
  <c r="F45" i="7"/>
  <c r="F44" i="7"/>
  <c r="F43" i="7"/>
  <c r="J42" i="7"/>
  <c r="I42" i="7"/>
  <c r="F42" i="7"/>
  <c r="K41" i="7"/>
  <c r="F41" i="7"/>
  <c r="K40" i="7"/>
  <c r="F40" i="7"/>
  <c r="K39" i="7"/>
  <c r="F39" i="7"/>
  <c r="K38" i="7"/>
  <c r="F38" i="7"/>
  <c r="K37" i="7"/>
  <c r="F37" i="7"/>
  <c r="K36" i="7"/>
  <c r="F36" i="7"/>
  <c r="E24" i="7"/>
  <c r="D13" i="7" s="1"/>
  <c r="D24" i="7"/>
  <c r="D12" i="7" s="1"/>
  <c r="D5" i="7" s="1"/>
  <c r="F23" i="7"/>
  <c r="F22" i="7"/>
  <c r="F21" i="7"/>
  <c r="F20" i="7"/>
  <c r="F19" i="7"/>
  <c r="F18" i="7"/>
  <c r="F17" i="7"/>
  <c r="E82" i="6"/>
  <c r="D82" i="6"/>
  <c r="F81" i="6"/>
  <c r="F80" i="6"/>
  <c r="F79" i="6"/>
  <c r="F78" i="6"/>
  <c r="F77" i="6"/>
  <c r="F76" i="6"/>
  <c r="J75" i="6"/>
  <c r="I75" i="6"/>
  <c r="F75" i="6"/>
  <c r="K74" i="6"/>
  <c r="K73" i="6"/>
  <c r="K72" i="6"/>
  <c r="K71" i="6"/>
  <c r="E71" i="6"/>
  <c r="D71" i="6"/>
  <c r="K70" i="6"/>
  <c r="F70" i="6"/>
  <c r="K69" i="6"/>
  <c r="F69" i="6"/>
  <c r="K68" i="6"/>
  <c r="F68" i="6"/>
  <c r="K67" i="6"/>
  <c r="F67" i="6"/>
  <c r="K66" i="6"/>
  <c r="F66" i="6"/>
  <c r="J63" i="6"/>
  <c r="I63" i="6"/>
  <c r="K62" i="6"/>
  <c r="E62" i="6"/>
  <c r="D62" i="6"/>
  <c r="K61" i="6"/>
  <c r="F61" i="6"/>
  <c r="K60" i="6"/>
  <c r="F60" i="6"/>
  <c r="K59" i="6"/>
  <c r="F59" i="6"/>
  <c r="E56" i="6"/>
  <c r="D56" i="6"/>
  <c r="J55" i="6"/>
  <c r="I55" i="6"/>
  <c r="F55" i="6"/>
  <c r="K54" i="6"/>
  <c r="F54" i="6"/>
  <c r="K53" i="6"/>
  <c r="F53" i="6"/>
  <c r="K52" i="6"/>
  <c r="F52" i="6"/>
  <c r="F51" i="6"/>
  <c r="F50" i="6"/>
  <c r="J49" i="6"/>
  <c r="I49" i="6"/>
  <c r="F49" i="6"/>
  <c r="K48" i="6"/>
  <c r="K47" i="6"/>
  <c r="K46" i="6"/>
  <c r="E46" i="6"/>
  <c r="D46" i="6"/>
  <c r="K45" i="6"/>
  <c r="F45" i="6"/>
  <c r="F44" i="6"/>
  <c r="F43" i="6"/>
  <c r="J42" i="6"/>
  <c r="I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E24" i="6"/>
  <c r="D24" i="6"/>
  <c r="D12" i="6" s="1"/>
  <c r="D5" i="6" s="1"/>
  <c r="F23" i="6"/>
  <c r="F22" i="6"/>
  <c r="F21" i="6"/>
  <c r="F20" i="6"/>
  <c r="F19" i="6"/>
  <c r="F18" i="6"/>
  <c r="F17" i="6"/>
  <c r="F82" i="6" l="1"/>
  <c r="F62" i="6"/>
  <c r="K55" i="6"/>
  <c r="K49" i="6"/>
  <c r="K42" i="7"/>
  <c r="F82" i="7"/>
  <c r="F62" i="7"/>
  <c r="K75" i="7"/>
  <c r="K63" i="7"/>
  <c r="K55" i="7"/>
  <c r="D30" i="7"/>
  <c r="D6" i="7" s="1"/>
  <c r="D7" i="7" s="1"/>
  <c r="D31" i="7"/>
  <c r="I6" i="7" s="1"/>
  <c r="F24" i="7"/>
  <c r="F56" i="7"/>
  <c r="F46" i="7"/>
  <c r="D14" i="7"/>
  <c r="E14" i="7" s="1"/>
  <c r="I5" i="7"/>
  <c r="K75" i="6"/>
  <c r="F24" i="6"/>
  <c r="F71" i="6"/>
  <c r="K63" i="6"/>
  <c r="K42" i="6"/>
  <c r="F56" i="6"/>
  <c r="D31" i="6"/>
  <c r="I6" i="6" s="1"/>
  <c r="F46" i="6"/>
  <c r="D30" i="6"/>
  <c r="D6" i="6" s="1"/>
  <c r="D7" i="6" s="1"/>
  <c r="I5" i="6"/>
  <c r="D14" i="6"/>
  <c r="E14" i="6" s="1"/>
  <c r="D32" i="7" l="1"/>
  <c r="E32" i="7" s="1"/>
  <c r="I7" i="7"/>
  <c r="D32" i="6"/>
  <c r="E32" i="6" s="1"/>
  <c r="I7" i="6"/>
</calcChain>
</file>

<file path=xl/sharedStrings.xml><?xml version="1.0" encoding="utf-8"?>
<sst xmlns="http://schemas.openxmlformats.org/spreadsheetml/2006/main" count="269" uniqueCount="78">
  <si>
    <t>Diferencia</t>
  </si>
  <si>
    <t>VIVIENDA</t>
  </si>
  <si>
    <t>PLANEADO</t>
  </si>
  <si>
    <t>REAL</t>
  </si>
  <si>
    <t>DIFERENCIA</t>
  </si>
  <si>
    <t>PRÉSTAMOS</t>
  </si>
  <si>
    <t>Hipoteca o alquiler</t>
  </si>
  <si>
    <t>Personal</t>
  </si>
  <si>
    <t>Teléfono</t>
  </si>
  <si>
    <t>Estudiante</t>
  </si>
  <si>
    <t>Electricidad</t>
  </si>
  <si>
    <t>Préstamos auto</t>
  </si>
  <si>
    <t>Gas</t>
  </si>
  <si>
    <t>Agua</t>
  </si>
  <si>
    <t>Internet</t>
  </si>
  <si>
    <t>Otros</t>
  </si>
  <si>
    <t>Total</t>
  </si>
  <si>
    <t>Mantenimiento o reparaciones</t>
  </si>
  <si>
    <t>IMPUESTOS</t>
  </si>
  <si>
    <t>TRANSPORTE</t>
  </si>
  <si>
    <t>Gastos de autobús y taxi</t>
  </si>
  <si>
    <t>AHORROS O INVERSIONES</t>
  </si>
  <si>
    <t>Combustible</t>
  </si>
  <si>
    <t>Mantenimiento</t>
  </si>
  <si>
    <t>ALIMENTACIÓN</t>
  </si>
  <si>
    <t>SEGUROS</t>
  </si>
  <si>
    <t>Comestibles</t>
  </si>
  <si>
    <t>Hogar</t>
  </si>
  <si>
    <t>Restaurantes</t>
  </si>
  <si>
    <t>Salud</t>
  </si>
  <si>
    <t>Verdulería</t>
  </si>
  <si>
    <t>Vida</t>
  </si>
  <si>
    <t>OCIO</t>
  </si>
  <si>
    <t>Alimentación</t>
  </si>
  <si>
    <t>Netflix</t>
  </si>
  <si>
    <t>Veterinario</t>
  </si>
  <si>
    <t>Cine</t>
  </si>
  <si>
    <t>Vacunas</t>
  </si>
  <si>
    <t>Fútbol</t>
  </si>
  <si>
    <t>Juguetes</t>
  </si>
  <si>
    <t>Conciertos</t>
  </si>
  <si>
    <t>Teatro</t>
  </si>
  <si>
    <t>CUIDADO PERSONAL</t>
  </si>
  <si>
    <t>Médico</t>
  </si>
  <si>
    <t>Peluquería</t>
  </si>
  <si>
    <t>Ropa</t>
  </si>
  <si>
    <t>Tintorería</t>
  </si>
  <si>
    <t>Gimnasio</t>
  </si>
  <si>
    <t>Masajes</t>
  </si>
  <si>
    <t>INGRESOS</t>
  </si>
  <si>
    <t>Sueldo</t>
  </si>
  <si>
    <t>Total Ingreso Real</t>
  </si>
  <si>
    <t>Total Gastos Real</t>
  </si>
  <si>
    <t>MASCOTAS</t>
  </si>
  <si>
    <t>Ingresos Reales</t>
  </si>
  <si>
    <t>Gastos Reales</t>
  </si>
  <si>
    <t xml:space="preserve">Instrucciones </t>
  </si>
  <si>
    <t>INGRESOS PERSONALES</t>
  </si>
  <si>
    <t>GASTOS PERSONALES</t>
  </si>
  <si>
    <t>Total Ingreso Planificado</t>
  </si>
  <si>
    <t>PLANIFICADO</t>
  </si>
  <si>
    <t>Ingresos Planificados</t>
  </si>
  <si>
    <t>Gastos Planificados</t>
  </si>
  <si>
    <t>Total Gastos Planificados</t>
  </si>
  <si>
    <t xml:space="preserve">Venta de ropa </t>
  </si>
  <si>
    <t xml:space="preserve">Alicuotas del Conjunto </t>
  </si>
  <si>
    <t>Auto</t>
  </si>
  <si>
    <t>Tarjeta de crédito 1</t>
  </si>
  <si>
    <t>Tarjeta de crédito 2</t>
  </si>
  <si>
    <t xml:space="preserve">Peajes </t>
  </si>
  <si>
    <t>Seguro del carro</t>
  </si>
  <si>
    <t xml:space="preserve">Verduras y Frutas </t>
  </si>
  <si>
    <t>Peluquería canina</t>
  </si>
  <si>
    <t xml:space="preserve">Otros </t>
  </si>
  <si>
    <t>Venta de ropa</t>
  </si>
  <si>
    <t>Horas extras</t>
  </si>
  <si>
    <t>Cuenta de ahorro</t>
  </si>
  <si>
    <t xml:space="preserve">Spotify Premium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</si>
</sst>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#,##0\ &quot;€&quot;_);[Red]\(#,##0\ &quot;€&quot;\)"/>
    <numFmt numFmtId="166" formatCode="&quot;$&quot;#,##0.00"/>
    <numFmt numFmtId="167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2"/>
      <color indexed="63"/>
      <name val="Calibri"/>
      <family val="2"/>
      <scheme val="minor"/>
    </font>
    <font>
      <i/>
      <u val="double"/>
      <sz val="12"/>
      <color theme="7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3" fillId="0" borderId="11" applyNumberFormat="0" applyFill="0" applyAlignment="0" applyProtection="0"/>
    <xf numFmtId="0" fontId="2" fillId="0" borderId="0"/>
    <xf numFmtId="0" fontId="5" fillId="0" borderId="0"/>
  </cellStyleXfs>
  <cellXfs count="96">
    <xf numFmtId="0" fontId="0" fillId="0" borderId="0" xfId="0"/>
    <xf numFmtId="0" fontId="4" fillId="0" borderId="12" xfId="3" applyFont="1" applyBorder="1"/>
    <xf numFmtId="0" fontId="5" fillId="0" borderId="0" xfId="5"/>
    <xf numFmtId="0" fontId="6" fillId="0" borderId="0" xfId="5" applyFont="1" applyAlignment="1">
      <alignment vertical="center"/>
    </xf>
    <xf numFmtId="0" fontId="6" fillId="0" borderId="0" xfId="5" applyFont="1" applyAlignment="1">
      <alignment vertical="top"/>
    </xf>
    <xf numFmtId="0" fontId="0" fillId="0" borderId="0" xfId="0" applyFill="1"/>
    <xf numFmtId="0" fontId="0" fillId="3" borderId="0" xfId="0" applyFill="1"/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12" xfId="3" applyFont="1" applyBorder="1"/>
    <xf numFmtId="0" fontId="11" fillId="0" borderId="0" xfId="3" applyFont="1" applyBorder="1"/>
    <xf numFmtId="0" fontId="12" fillId="0" borderId="0" xfId="3" applyFont="1" applyBorder="1"/>
    <xf numFmtId="0" fontId="13" fillId="0" borderId="0" xfId="3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shrinkToFit="1"/>
    </xf>
    <xf numFmtId="164" fontId="15" fillId="0" borderId="13" xfId="2" applyNumberFormat="1" applyFont="1" applyFill="1" applyBorder="1" applyAlignment="1">
      <alignment horizontal="center"/>
    </xf>
    <xf numFmtId="164" fontId="15" fillId="0" borderId="13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shrinkToFit="1"/>
    </xf>
    <xf numFmtId="164" fontId="5" fillId="0" borderId="13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 vertical="center"/>
    </xf>
    <xf numFmtId="0" fontId="15" fillId="0" borderId="0" xfId="0" applyFont="1"/>
    <xf numFmtId="164" fontId="15" fillId="0" borderId="13" xfId="0" applyNumberFormat="1" applyFont="1" applyBorder="1" applyAlignment="1">
      <alignment horizontal="center"/>
    </xf>
    <xf numFmtId="0" fontId="16" fillId="0" borderId="11" xfId="3" applyFont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165" fontId="17" fillId="2" borderId="0" xfId="1" applyNumberFormat="1" applyFont="1" applyFill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17" fillId="2" borderId="0" xfId="1" applyFont="1" applyFill="1" applyAlignment="1">
      <alignment horizontal="left" vertical="center" wrapText="1"/>
    </xf>
    <xf numFmtId="165" fontId="17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15" fillId="0" borderId="1" xfId="1" applyFont="1" applyBorder="1" applyAlignment="1">
      <alignment shrinkToFit="1"/>
    </xf>
    <xf numFmtId="164" fontId="15" fillId="0" borderId="2" xfId="1" applyNumberFormat="1" applyFont="1" applyBorder="1"/>
    <xf numFmtId="164" fontId="15" fillId="0" borderId="3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164" fontId="15" fillId="0" borderId="2" xfId="2" applyNumberFormat="1" applyFont="1" applyFill="1" applyBorder="1"/>
    <xf numFmtId="164" fontId="15" fillId="0" borderId="3" xfId="2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left" vertical="center" shrinkToFit="1"/>
    </xf>
    <xf numFmtId="166" fontId="17" fillId="0" borderId="0" xfId="2" applyNumberFormat="1" applyFont="1" applyFill="1" applyBorder="1" applyAlignment="1">
      <alignment horizontal="right" vertical="center"/>
    </xf>
    <xf numFmtId="167" fontId="17" fillId="0" borderId="0" xfId="2" applyFont="1" applyFill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/>
    </xf>
    <xf numFmtId="0" fontId="17" fillId="0" borderId="5" xfId="1" applyFont="1" applyBorder="1" applyAlignment="1">
      <alignment horizontal="left" vertical="center" shrinkToFit="1"/>
    </xf>
    <xf numFmtId="166" fontId="17" fillId="0" borderId="5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7" fillId="0" borderId="0" xfId="1" applyFont="1" applyAlignment="1">
      <alignment horizontal="left" vertical="center" shrinkToFit="1"/>
    </xf>
    <xf numFmtId="166" fontId="17" fillId="0" borderId="4" xfId="1" applyNumberFormat="1" applyFont="1" applyBorder="1" applyAlignment="1">
      <alignment horizontal="right" vertical="center"/>
    </xf>
    <xf numFmtId="0" fontId="17" fillId="0" borderId="6" xfId="1" applyFont="1" applyBorder="1" applyAlignment="1">
      <alignment horizontal="left" vertical="center" shrinkToFit="1"/>
    </xf>
    <xf numFmtId="0" fontId="17" fillId="0" borderId="7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 wrapText="1"/>
    </xf>
    <xf numFmtId="166" fontId="7" fillId="0" borderId="5" xfId="1" applyNumberFormat="1" applyFont="1" applyBorder="1" applyAlignment="1">
      <alignment horizontal="right" vertical="center"/>
    </xf>
    <xf numFmtId="0" fontId="17" fillId="0" borderId="9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left" vertical="center" shrinkToFit="1"/>
    </xf>
    <xf numFmtId="166" fontId="17" fillId="0" borderId="5" xfId="1" applyNumberFormat="1" applyFont="1" applyBorder="1" applyAlignment="1">
      <alignment horizontal="right" vertical="center"/>
    </xf>
    <xf numFmtId="164" fontId="5" fillId="0" borderId="0" xfId="1" applyNumberFormat="1" applyFont="1"/>
    <xf numFmtId="167" fontId="15" fillId="0" borderId="0" xfId="2" applyFont="1" applyFill="1" applyBorder="1" applyAlignment="1">
      <alignment shrinkToFit="1"/>
    </xf>
    <xf numFmtId="167" fontId="15" fillId="0" borderId="0" xfId="2" applyFont="1" applyFill="1" applyBorder="1"/>
    <xf numFmtId="167" fontId="15" fillId="0" borderId="0" xfId="2" applyFont="1" applyFill="1" applyBorder="1" applyAlignment="1">
      <alignment horizontal="right" vertical="center"/>
    </xf>
    <xf numFmtId="167" fontId="7" fillId="0" borderId="0" xfId="2" applyFont="1" applyBorder="1" applyAlignment="1">
      <alignment horizontal="left" vertical="center"/>
    </xf>
    <xf numFmtId="0" fontId="5" fillId="3" borderId="0" xfId="1" applyFont="1" applyFill="1"/>
    <xf numFmtId="0" fontId="5" fillId="4" borderId="0" xfId="1" applyFont="1" applyFill="1"/>
    <xf numFmtId="164" fontId="5" fillId="0" borderId="0" xfId="1" applyNumberFormat="1" applyFont="1" applyAlignment="1">
      <alignment horizontal="left"/>
    </xf>
    <xf numFmtId="164" fontId="5" fillId="0" borderId="16" xfId="1" applyNumberFormat="1" applyFont="1" applyBorder="1" applyAlignment="1">
      <alignment horizontal="left"/>
    </xf>
    <xf numFmtId="0" fontId="20" fillId="0" borderId="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9" fillId="0" borderId="15" xfId="1" applyFont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24" fillId="0" borderId="0" xfId="1" applyFont="1"/>
    <xf numFmtId="164" fontId="25" fillId="0" borderId="15" xfId="1" applyNumberFormat="1" applyFont="1" applyBorder="1" applyAlignment="1">
      <alignment horizontal="left" vertical="center"/>
    </xf>
    <xf numFmtId="164" fontId="26" fillId="0" borderId="15" xfId="1" applyNumberFormat="1" applyFont="1" applyBorder="1" applyAlignment="1">
      <alignment horizontal="left" vertical="center"/>
    </xf>
    <xf numFmtId="0" fontId="23" fillId="0" borderId="0" xfId="1" applyFont="1"/>
    <xf numFmtId="164" fontId="23" fillId="0" borderId="0" xfId="1" applyNumberFormat="1" applyFont="1" applyAlignment="1">
      <alignment horizontal="left"/>
    </xf>
    <xf numFmtId="0" fontId="27" fillId="0" borderId="11" xfId="3" applyFont="1"/>
    <xf numFmtId="0" fontId="28" fillId="0" borderId="15" xfId="1" applyFont="1" applyBorder="1" applyAlignment="1">
      <alignment horizontal="left" vertical="center"/>
    </xf>
    <xf numFmtId="164" fontId="5" fillId="0" borderId="15" xfId="1" applyNumberFormat="1" applyFont="1" applyBorder="1" applyAlignment="1">
      <alignment horizontal="left" vertical="center"/>
    </xf>
    <xf numFmtId="0" fontId="5" fillId="0" borderId="1" xfId="1" applyFont="1" applyFill="1" applyBorder="1" applyAlignment="1">
      <alignment shrinkToFit="1"/>
    </xf>
    <xf numFmtId="0" fontId="15" fillId="0" borderId="1" xfId="0" applyNumberFormat="1" applyFont="1" applyFill="1" applyBorder="1" applyAlignment="1" applyProtection="1"/>
    <xf numFmtId="164" fontId="15" fillId="0" borderId="2" xfId="0" applyNumberFormat="1" applyFont="1" applyFill="1" applyBorder="1" applyAlignment="1" applyProtection="1"/>
    <xf numFmtId="164" fontId="15" fillId="0" borderId="3" xfId="0" applyNumberFormat="1" applyFont="1" applyFill="1" applyBorder="1" applyAlignment="1" applyProtection="1"/>
    <xf numFmtId="164" fontId="18" fillId="0" borderId="2" xfId="0" applyNumberFormat="1" applyFont="1" applyFill="1" applyBorder="1" applyAlignment="1" applyProtection="1"/>
    <xf numFmtId="0" fontId="12" fillId="0" borderId="15" xfId="1" applyFont="1" applyBorder="1" applyAlignment="1">
      <alignment horizontal="left" vertical="center"/>
    </xf>
    <xf numFmtId="0" fontId="5" fillId="0" borderId="0" xfId="1" applyFont="1" applyFill="1" applyAlignment="1">
      <alignment shrinkToFit="1"/>
    </xf>
    <xf numFmtId="0" fontId="23" fillId="0" borderId="0" xfId="3" applyFont="1" applyBorder="1"/>
  </cellXfs>
  <cellStyles count="6">
    <cellStyle name="Encabezado 1" xfId="3" builtinId="16"/>
    <cellStyle name="Moneda 2" xfId="2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5" xr:uid="{00000000-0005-0000-0000-000005000000}"/>
  </cellStyles>
  <dxfs count="2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63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  <border diagonalUp="0" diagonalDown="0" outline="0">
        <left style="thin">
          <color rgb="FF9BC2E6"/>
        </left>
        <right style="thin">
          <color rgb="FF9BC2E6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63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  <border diagonalUp="0" diagonalDown="0" outline="0">
        <left style="thin">
          <color rgb="FF9BC2E6"/>
        </left>
        <right style="thin">
          <color rgb="FF9BC2E6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illaexcel.com/ayuda/plantillas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illaexcel.com/ayuda/plantill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50</xdr:row>
      <xdr:rowOff>177800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3400"/>
          <a:ext cx="8204200" cy="9074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95000"/>
                  <a:lumOff val="5000"/>
                </a:schemeClr>
              </a:solidFill>
            </a:rPr>
            <a:t>La plantilla de "Presupuesto</a:t>
          </a:r>
          <a:r>
            <a:rPr lang="es-ES" sz="1600" baseline="0">
              <a:solidFill>
                <a:schemeClr val="tx1">
                  <a:lumMod val="95000"/>
                  <a:lumOff val="5000"/>
                </a:schemeClr>
              </a:solidFill>
            </a:rPr>
            <a:t> Personal" te permitirá llevar un control de tus ingresos y egresos. Además, podrás tener una comparación entre la cantidad de dinero que realmente se gastó o ingresó en un período determinado </a:t>
          </a:r>
          <a:r>
            <a:rPr lang="es-ES" sz="1600" b="1" baseline="0">
              <a:solidFill>
                <a:schemeClr val="tx1">
                  <a:lumMod val="95000"/>
                  <a:lumOff val="5000"/>
                </a:schemeClr>
              </a:solidFill>
            </a:rPr>
            <a:t>(monto real) </a:t>
          </a:r>
          <a:r>
            <a:rPr lang="es-ES" sz="1600" baseline="0">
              <a:solidFill>
                <a:schemeClr val="tx1">
                  <a:lumMod val="95000"/>
                  <a:lumOff val="5000"/>
                </a:schemeClr>
              </a:solidFill>
            </a:rPr>
            <a:t>y la cantidad que se había planificado gastar o ingresar </a:t>
          </a:r>
          <a:r>
            <a:rPr lang="es-ES" sz="1600" b="1" baseline="0">
              <a:solidFill>
                <a:schemeClr val="tx1">
                  <a:lumMod val="95000"/>
                  <a:lumOff val="5000"/>
                </a:schemeClr>
              </a:solidFill>
            </a:rPr>
            <a:t>(monto planificado).</a:t>
          </a:r>
        </a:p>
        <a:p>
          <a:endParaRPr lang="es-ES" sz="1600">
            <a:solidFill>
              <a:schemeClr val="tx1">
                <a:lumMod val="95000"/>
                <a:lumOff val="5000"/>
              </a:schemeClr>
            </a:solidFill>
          </a:endParaRPr>
        </a:p>
        <a:p>
          <a:r>
            <a:rPr lang="en-US" sz="1600" b="1">
              <a:solidFill>
                <a:schemeClr val="tx1">
                  <a:lumMod val="95000"/>
                  <a:lumOff val="5000"/>
                </a:schemeClr>
              </a:solidFill>
            </a:rPr>
            <a:t>Para usarla,</a:t>
          </a:r>
          <a:r>
            <a:rPr lang="en-US" sz="1600" b="1" baseline="0">
              <a:solidFill>
                <a:schemeClr val="tx1">
                  <a:lumMod val="95000"/>
                  <a:lumOff val="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95000"/>
                <a:lumOff val="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95000"/>
                  <a:lumOff val="5000"/>
                </a:schemeClr>
              </a:solidFill>
            </a:rPr>
            <a:t>1.</a:t>
          </a:r>
          <a:r>
            <a:rPr lang="en-US" sz="1600" b="0" baseline="0">
              <a:solidFill>
                <a:schemeClr val="tx1">
                  <a:lumMod val="95000"/>
                  <a:lumOff val="5000"/>
                </a:schemeClr>
              </a:solidFill>
            </a:rPr>
            <a:t> En la sección "Ingresos Personales",</a:t>
          </a:r>
          <a:r>
            <a:rPr lang="es-ES" sz="1600" baseline="0">
              <a:solidFill>
                <a:schemeClr val="tx1">
                  <a:lumMod val="95000"/>
                  <a:lumOff val="5000"/>
                </a:schemeClr>
              </a:solidFill>
            </a:rPr>
            <a:t> completa la información de la tabla que se encuentra en la celda C17 con los ingresos que tenías planificados y los ingresos reales a medida que sucedan. </a:t>
          </a:r>
        </a:p>
        <a:p>
          <a:endParaRPr lang="en-US" sz="1600" baseline="0">
            <a:solidFill>
              <a:schemeClr val="tx1">
                <a:lumMod val="95000"/>
                <a:lumOff val="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95000"/>
                  <a:lumOff val="5000"/>
                </a:schemeClr>
              </a:solidFill>
            </a:rPr>
            <a:t>2. 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En la sección "Gastos Personales", completa las diferentes tablas que encontrarás a partir de la celda C35 con información de los gastos planificados y los gastos reales a medida que sucedan.  </a:t>
          </a:r>
        </a:p>
        <a:p>
          <a:endParaRPr lang="es-ES" sz="1600" baseline="0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AR" sz="16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Resultados</a:t>
          </a:r>
          <a:r>
            <a:rPr lang="es-AR" sz="1600" b="0" i="0" u="dbl" strike="noStrike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AR" sz="1600" i="0">
              <a:solidFill>
                <a:schemeClr val="tx1">
                  <a:lumMod val="95000"/>
                  <a:lumOff val="5000"/>
                </a:schemeClr>
              </a:solidFill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En la parte superior encontrarás un resumen de la diferencia entre los ingresos y gastos planificados y reales. </a:t>
          </a:r>
        </a:p>
        <a:p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s-AR" sz="1600" b="0" i="0" baseline="0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En la sección "Gastos personales" o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bservarás, por tabla, las diferencias entre lo planificado y lo real. Incluso, te podrás guiar por colores: </a:t>
          </a:r>
          <a:r>
            <a:rPr lang="es-AR" sz="1600" baseline="0">
              <a:solidFill>
                <a:srgbClr val="C00000"/>
              </a:solidFill>
              <a:latin typeface="+mn-lt"/>
              <a:ea typeface="+mn-ea"/>
              <a:cs typeface="+mn-cs"/>
            </a:rPr>
            <a:t>Rojo (Diferencia positiva - Gastaste más de lo planificado)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, </a:t>
          </a:r>
          <a:r>
            <a:rPr lang="es-AR" sz="1600" baseline="0">
              <a:solidFill>
                <a:srgbClr val="FFC000"/>
              </a:solidFill>
              <a:latin typeface="+mn-lt"/>
              <a:ea typeface="+mn-ea"/>
              <a:cs typeface="+mn-cs"/>
            </a:rPr>
            <a:t>Amarrillo (Gastaste lo planificado)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y </a:t>
          </a:r>
          <a:r>
            <a:rPr lang="es-AR" sz="1600" baseline="0">
              <a:solidFill>
                <a:srgbClr val="00B050"/>
              </a:solidFill>
              <a:latin typeface="+mn-lt"/>
              <a:ea typeface="+mn-ea"/>
              <a:cs typeface="+mn-cs"/>
            </a:rPr>
            <a:t>Verde (Diferencia negativa - No gastaste la cantidad prevista)</a:t>
          </a:r>
          <a:br>
            <a:rPr lang="es-AR" sz="1600" baseline="0">
              <a:solidFill>
                <a:srgbClr val="92D050"/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b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</a:br>
          <a:endParaRPr lang="es-AR" sz="1600" baseline="0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C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Esta herramienta te indicará automáticamente si tus ingresos y gastos fueron mayores a los planificados.</a:t>
          </a:r>
        </a:p>
        <a:p>
          <a:endParaRPr lang="es-AR" sz="1600" baseline="0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AR" sz="16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Periodo de tiempo para usar la plantilla:</a:t>
          </a:r>
        </a:p>
        <a:p>
          <a:r>
            <a:rPr lang="es-AR" sz="16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Puedes utilizar y adaptar la plantilla para diferentes periodos de tiempo: semanal, mensual o anual. </a:t>
          </a:r>
        </a:p>
      </xdr:txBody>
    </xdr:sp>
    <xdr:clientData/>
  </xdr:twoCellAnchor>
  <xdr:twoCellAnchor editAs="absolute">
    <xdr:from>
      <xdr:col>2</xdr:col>
      <xdr:colOff>12700</xdr:colOff>
      <xdr:row>1</xdr:row>
      <xdr:rowOff>0</xdr:rowOff>
    </xdr:from>
    <xdr:to>
      <xdr:col>5</xdr:col>
      <xdr:colOff>1155700</xdr:colOff>
      <xdr:row>2</xdr:row>
      <xdr:rowOff>35732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81150" y="120650"/>
          <a:ext cx="5010150" cy="727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 PERSONAL</a:t>
          </a:r>
        </a:p>
      </xdr:txBody>
    </xdr:sp>
    <xdr:clientData/>
  </xdr:twoCellAnchor>
  <xdr:twoCellAnchor editAs="oneCell">
    <xdr:from>
      <xdr:col>0</xdr:col>
      <xdr:colOff>203200</xdr:colOff>
      <xdr:row>0</xdr:row>
      <xdr:rowOff>57150</xdr:rowOff>
    </xdr:from>
    <xdr:to>
      <xdr:col>1</xdr:col>
      <xdr:colOff>1233488</xdr:colOff>
      <xdr:row>2</xdr:row>
      <xdr:rowOff>47276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1F5A7E6-5930-4A29-A634-D5B44B95E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82" b="23712"/>
        <a:stretch/>
      </xdr:blipFill>
      <xdr:spPr>
        <a:xfrm>
          <a:off x="203200" y="57150"/>
          <a:ext cx="1309688" cy="8029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44450</xdr:rowOff>
    </xdr:from>
    <xdr:to>
      <xdr:col>5</xdr:col>
      <xdr:colOff>622597</xdr:colOff>
      <xdr:row>36</xdr:row>
      <xdr:rowOff>133395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F1E855-6771-73AB-6AE7-E1BBB49E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" y="7200900"/>
          <a:ext cx="5778797" cy="87634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36</xdr:row>
      <xdr:rowOff>139700</xdr:rowOff>
    </xdr:from>
    <xdr:to>
      <xdr:col>5</xdr:col>
      <xdr:colOff>641651</xdr:colOff>
      <xdr:row>39</xdr:row>
      <xdr:rowOff>50826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2CBD84-C4C2-1D48-4093-E8DF0B0B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250" y="8083550"/>
          <a:ext cx="5855001" cy="501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850900</xdr:colOff>
      <xdr:row>3</xdr:row>
      <xdr:rowOff>91281</xdr:rowOff>
    </xdr:from>
    <xdr:to>
      <xdr:col>4</xdr:col>
      <xdr:colOff>523874</xdr:colOff>
      <xdr:row>7</xdr:row>
      <xdr:rowOff>130175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7B20CF8-6FA6-4580-85E6-1CEE6E8D37ED}"/>
            </a:ext>
          </a:extLst>
        </xdr:cNvPr>
        <xdr:cNvSpPr/>
      </xdr:nvSpPr>
      <xdr:spPr>
        <a:xfrm>
          <a:off x="1092200" y="1475581"/>
          <a:ext cx="4264024" cy="807244"/>
        </a:xfrm>
        <a:prstGeom prst="rect">
          <a:avLst/>
        </a:prstGeom>
        <a:noFill/>
        <a:ln w="9525">
          <a:solidFill>
            <a:srgbClr val="FFC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927100</xdr:colOff>
      <xdr:row>3</xdr:row>
      <xdr:rowOff>78581</xdr:rowOff>
    </xdr:from>
    <xdr:to>
      <xdr:col>10</xdr:col>
      <xdr:colOff>107156</xdr:colOff>
      <xdr:row>7</xdr:row>
      <xdr:rowOff>117475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08AF964-B45D-402B-B407-1D9F66AA48DC}"/>
            </a:ext>
          </a:extLst>
        </xdr:cNvPr>
        <xdr:cNvSpPr/>
      </xdr:nvSpPr>
      <xdr:spPr>
        <a:xfrm>
          <a:off x="6807200" y="1462881"/>
          <a:ext cx="4736306" cy="807244"/>
        </a:xfrm>
        <a:prstGeom prst="rect">
          <a:avLst/>
        </a:prstGeom>
        <a:noFill/>
        <a:ln>
          <a:solidFill>
            <a:srgbClr val="7030A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absolute">
    <xdr:from>
      <xdr:col>1</xdr:col>
      <xdr:colOff>654050</xdr:colOff>
      <xdr:row>0</xdr:row>
      <xdr:rowOff>142875</xdr:rowOff>
    </xdr:from>
    <xdr:to>
      <xdr:col>8</xdr:col>
      <xdr:colOff>787111</xdr:colOff>
      <xdr:row>0</xdr:row>
      <xdr:rowOff>476249</xdr:rowOff>
    </xdr:to>
    <xdr:sp macro="" textlink="">
      <xdr:nvSpPr>
        <xdr:cNvPr id="4" name="Cuadro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2569C-0637-4990-AFDD-B79FC0335341}"/>
            </a:ext>
          </a:extLst>
        </xdr:cNvPr>
        <xdr:cNvSpPr txBox="1"/>
      </xdr:nvSpPr>
      <xdr:spPr>
        <a:xfrm>
          <a:off x="895350" y="142875"/>
          <a:ext cx="8381711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0" rIns="36000" bIns="0" rtlCol="0" anchor="b">
          <a:noAutofit/>
        </a:bodyPr>
        <a:lstStyle/>
        <a:p>
          <a:pPr algn="l"/>
          <a:r>
            <a:rPr lang="es-AR" sz="1200" b="0">
              <a:solidFill>
                <a:srgbClr val="00B050"/>
              </a:solidFill>
              <a:latin typeface="+mn-lt"/>
            </a:rPr>
            <a:t>PlanillaExcel.com</a:t>
          </a:r>
          <a:r>
            <a:rPr lang="es-AR" sz="1050" b="1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                   </a:t>
          </a:r>
          <a:r>
            <a:rPr lang="es-AR" sz="12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Presupuesto Personal         </a:t>
          </a:r>
          <a:r>
            <a:rPr lang="es-AR" sz="1050" b="0">
              <a:solidFill>
                <a:schemeClr val="bg1">
                  <a:lumMod val="85000"/>
                </a:schemeClr>
              </a:solidFill>
              <a:latin typeface="+mn-lt"/>
            </a:rPr>
            <a:t>|</a:t>
          </a:r>
          <a:r>
            <a:rPr lang="es-AR" sz="105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              </a:t>
          </a:r>
          <a:r>
            <a:rPr lang="es-AR" sz="1050" b="0">
              <a:solidFill>
                <a:schemeClr val="bg1">
                  <a:lumMod val="50000"/>
                </a:schemeClr>
              </a:solidFill>
              <a:latin typeface="+mn-lt"/>
            </a:rPr>
            <a:t>AYUDA </a:t>
          </a:r>
          <a:r>
            <a:rPr lang="es-AR" sz="1050" b="0" i="0">
              <a:solidFill>
                <a:schemeClr val="bg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→</a:t>
          </a:r>
          <a:endParaRPr lang="es-AR" sz="1050" b="0">
            <a:solidFill>
              <a:schemeClr val="bg1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 editAs="absolute">
    <xdr:from>
      <xdr:col>2</xdr:col>
      <xdr:colOff>6350</xdr:colOff>
      <xdr:row>0</xdr:row>
      <xdr:rowOff>31750</xdr:rowOff>
    </xdr:from>
    <xdr:to>
      <xdr:col>5</xdr:col>
      <xdr:colOff>819150</xdr:colOff>
      <xdr:row>0</xdr:row>
      <xdr:rowOff>806450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C95AD6DD-58AA-4E7B-B567-646714E491FD}"/>
            </a:ext>
          </a:extLst>
        </xdr:cNvPr>
        <xdr:cNvSpPr txBox="1"/>
      </xdr:nvSpPr>
      <xdr:spPr>
        <a:xfrm>
          <a:off x="1206500" y="31750"/>
          <a:ext cx="5492750" cy="774700"/>
        </a:xfrm>
        <a:prstGeom prst="rect">
          <a:avLst/>
        </a:prstGeom>
        <a:solidFill>
          <a:srgbClr val="7030A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 PERSONAL</a:t>
          </a:r>
        </a:p>
      </xdr:txBody>
    </xdr:sp>
    <xdr:clientData/>
  </xdr:twoCellAnchor>
  <xdr:twoCellAnchor>
    <xdr:from>
      <xdr:col>0</xdr:col>
      <xdr:colOff>12700</xdr:colOff>
      <xdr:row>0</xdr:row>
      <xdr:rowOff>0</xdr:rowOff>
    </xdr:from>
    <xdr:to>
      <xdr:col>1</xdr:col>
      <xdr:colOff>952500</xdr:colOff>
      <xdr:row>1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C39AF02-D6FE-4A61-9026-AFE048DC2F34}"/>
            </a:ext>
          </a:extLst>
        </xdr:cNvPr>
        <xdr:cNvSpPr/>
      </xdr:nvSpPr>
      <xdr:spPr>
        <a:xfrm>
          <a:off x="12700" y="0"/>
          <a:ext cx="1181100" cy="889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0</xdr:col>
      <xdr:colOff>101600</xdr:colOff>
      <xdr:row>0</xdr:row>
      <xdr:rowOff>50800</xdr:rowOff>
    </xdr:from>
    <xdr:to>
      <xdr:col>2</xdr:col>
      <xdr:colOff>65088</xdr:colOff>
      <xdr:row>0</xdr:row>
      <xdr:rowOff>853726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3007A1-192B-4079-B9A4-0B340C352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2" t="14982" b="23712"/>
        <a:stretch/>
      </xdr:blipFill>
      <xdr:spPr>
        <a:xfrm>
          <a:off x="101600" y="50800"/>
          <a:ext cx="1163638" cy="80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850900</xdr:colOff>
      <xdr:row>3</xdr:row>
      <xdr:rowOff>91281</xdr:rowOff>
    </xdr:from>
    <xdr:to>
      <xdr:col>4</xdr:col>
      <xdr:colOff>523874</xdr:colOff>
      <xdr:row>7</xdr:row>
      <xdr:rowOff>130175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039F3C0-269E-4895-B0FF-023B7903B186}"/>
            </a:ext>
          </a:extLst>
        </xdr:cNvPr>
        <xdr:cNvSpPr/>
      </xdr:nvSpPr>
      <xdr:spPr>
        <a:xfrm>
          <a:off x="1092200" y="1304131"/>
          <a:ext cx="4264024" cy="807244"/>
        </a:xfrm>
        <a:prstGeom prst="rect">
          <a:avLst/>
        </a:prstGeom>
        <a:noFill/>
        <a:ln w="9525">
          <a:solidFill>
            <a:srgbClr val="FFC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927100</xdr:colOff>
      <xdr:row>3</xdr:row>
      <xdr:rowOff>78581</xdr:rowOff>
    </xdr:from>
    <xdr:to>
      <xdr:col>10</xdr:col>
      <xdr:colOff>107156</xdr:colOff>
      <xdr:row>7</xdr:row>
      <xdr:rowOff>117475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E371AEE-C7B3-403E-9804-D87AABC910F6}"/>
            </a:ext>
          </a:extLst>
        </xdr:cNvPr>
        <xdr:cNvSpPr/>
      </xdr:nvSpPr>
      <xdr:spPr>
        <a:xfrm>
          <a:off x="6807200" y="1291431"/>
          <a:ext cx="4736306" cy="807244"/>
        </a:xfrm>
        <a:prstGeom prst="rect">
          <a:avLst/>
        </a:prstGeom>
        <a:noFill/>
        <a:ln>
          <a:solidFill>
            <a:srgbClr val="7030A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absolute">
    <xdr:from>
      <xdr:col>1</xdr:col>
      <xdr:colOff>654050</xdr:colOff>
      <xdr:row>0</xdr:row>
      <xdr:rowOff>142875</xdr:rowOff>
    </xdr:from>
    <xdr:to>
      <xdr:col>8</xdr:col>
      <xdr:colOff>787111</xdr:colOff>
      <xdr:row>0</xdr:row>
      <xdr:rowOff>476249</xdr:rowOff>
    </xdr:to>
    <xdr:sp macro="" textlink="">
      <xdr:nvSpPr>
        <xdr:cNvPr id="4" name="Cuadro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0EE3A-4CA0-46D5-9CC0-CD7D347E5D6A}"/>
            </a:ext>
          </a:extLst>
        </xdr:cNvPr>
        <xdr:cNvSpPr txBox="1"/>
      </xdr:nvSpPr>
      <xdr:spPr>
        <a:xfrm>
          <a:off x="895350" y="142875"/>
          <a:ext cx="8381711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0" rIns="36000" bIns="0" rtlCol="0" anchor="b">
          <a:noAutofit/>
        </a:bodyPr>
        <a:lstStyle/>
        <a:p>
          <a:pPr algn="l"/>
          <a:r>
            <a:rPr lang="es-AR" sz="1200" b="0">
              <a:solidFill>
                <a:srgbClr val="00B050"/>
              </a:solidFill>
              <a:latin typeface="+mn-lt"/>
            </a:rPr>
            <a:t>PlanillaExcel.com</a:t>
          </a:r>
          <a:r>
            <a:rPr lang="es-AR" sz="1050" b="1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                   </a:t>
          </a:r>
          <a:r>
            <a:rPr lang="es-AR" sz="12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Presupuesto Personal         </a:t>
          </a:r>
          <a:r>
            <a:rPr lang="es-AR" sz="1050" b="0">
              <a:solidFill>
                <a:schemeClr val="bg1">
                  <a:lumMod val="85000"/>
                </a:schemeClr>
              </a:solidFill>
              <a:latin typeface="+mn-lt"/>
            </a:rPr>
            <a:t>|</a:t>
          </a:r>
          <a:r>
            <a:rPr lang="es-AR" sz="105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              </a:t>
          </a:r>
          <a:r>
            <a:rPr lang="es-AR" sz="1050" b="0">
              <a:solidFill>
                <a:schemeClr val="bg1">
                  <a:lumMod val="50000"/>
                </a:schemeClr>
              </a:solidFill>
              <a:latin typeface="+mn-lt"/>
            </a:rPr>
            <a:t>AYUDA </a:t>
          </a:r>
          <a:r>
            <a:rPr lang="es-AR" sz="1050" b="0" i="0">
              <a:solidFill>
                <a:schemeClr val="bg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→</a:t>
          </a:r>
          <a:endParaRPr lang="es-AR" sz="1050" b="0">
            <a:solidFill>
              <a:schemeClr val="bg1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 editAs="absolute">
    <xdr:from>
      <xdr:col>2</xdr:col>
      <xdr:colOff>6350</xdr:colOff>
      <xdr:row>0</xdr:row>
      <xdr:rowOff>31750</xdr:rowOff>
    </xdr:from>
    <xdr:to>
      <xdr:col>5</xdr:col>
      <xdr:colOff>819150</xdr:colOff>
      <xdr:row>0</xdr:row>
      <xdr:rowOff>806450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C3D7AB89-B1CA-4B08-8720-63BA08F40E67}"/>
            </a:ext>
          </a:extLst>
        </xdr:cNvPr>
        <xdr:cNvSpPr txBox="1"/>
      </xdr:nvSpPr>
      <xdr:spPr>
        <a:xfrm>
          <a:off x="1206500" y="31750"/>
          <a:ext cx="5492750" cy="774700"/>
        </a:xfrm>
        <a:prstGeom prst="rect">
          <a:avLst/>
        </a:prstGeom>
        <a:solidFill>
          <a:srgbClr val="7030A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 PERSONAL</a:t>
          </a:r>
        </a:p>
        <a:p>
          <a:pPr algn="l"/>
          <a:r>
            <a:rPr lang="en-US" sz="1400" b="1">
              <a:solidFill>
                <a:schemeClr val="bg1"/>
              </a:solidFill>
            </a:rPr>
            <a:t>EJEMPLO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12700</xdr:colOff>
      <xdr:row>0</xdr:row>
      <xdr:rowOff>0</xdr:rowOff>
    </xdr:from>
    <xdr:to>
      <xdr:col>1</xdr:col>
      <xdr:colOff>952500</xdr:colOff>
      <xdr:row>1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1933FB1-D005-ED3A-BE71-E49AE6930C13}"/>
            </a:ext>
          </a:extLst>
        </xdr:cNvPr>
        <xdr:cNvSpPr/>
      </xdr:nvSpPr>
      <xdr:spPr>
        <a:xfrm>
          <a:off x="12700" y="0"/>
          <a:ext cx="1181100" cy="889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0</xdr:col>
      <xdr:colOff>44450</xdr:colOff>
      <xdr:row>0</xdr:row>
      <xdr:rowOff>50800</xdr:rowOff>
    </xdr:from>
    <xdr:to>
      <xdr:col>2</xdr:col>
      <xdr:colOff>7938</xdr:colOff>
      <xdr:row>0</xdr:row>
      <xdr:rowOff>853726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611F1D-6236-48E4-9B64-5C8D20354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2" t="14982" b="23712"/>
        <a:stretch/>
      </xdr:blipFill>
      <xdr:spPr>
        <a:xfrm>
          <a:off x="44450" y="50800"/>
          <a:ext cx="1163638" cy="802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/Dropbox/Planilla%20Excel/Plantillas%20a%20subir%202018/Subidas/Cuadro%20de%20Ingresos%20y%20Gas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/Dropbox/Planilla%20Excel/Plantillas%20a%20subir%202018/Subidas/control-de-cobro-de-facturas-en-exce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Ingresos Obtenidos"/>
      <sheetName val="Gastos Incurridos"/>
      <sheetName val="Resultado Obtenido"/>
      <sheetName val="Cuadro de Ingresos y Gas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ontrol de Facturas"/>
      <sheetName val="Clientes con Deudas"/>
      <sheetName val="Facturas Próximas a vencer"/>
      <sheetName val="Feriados"/>
      <sheetName val="Ayud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>
            <v>43203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A53829F-9761-4475-A36A-2D962FC45E3D}" name="Vivienda1224" displayName="Vivienda1224" ref="C35:F46" totalsRowCount="1" headerRowDxfId="180" dataDxfId="179" totalsRowDxfId="178" tableBorderDxfId="177">
  <autoFilter ref="C35:F4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818D65BF-EA5F-43B0-BB29-77938F22949A}" name="VIVIENDA" totalsRowLabel="Total" dataDxfId="176" totalsRowDxfId="83" dataCellStyle="Normal 2"/>
    <tableColumn id="2" xr3:uid="{D3C3E49C-B796-4A21-9E25-C9CB4372775A}" name="PLANIFICADO" totalsRowFunction="sum" dataDxfId="175" totalsRowDxfId="82" dataCellStyle="Normal 2"/>
    <tableColumn id="3" xr3:uid="{79D90F05-65BE-4FFB-882D-7794AEEA3090}" name="REAL" totalsRowFunction="sum" dataDxfId="174" totalsRowDxfId="81" dataCellStyle="Normal 2"/>
    <tableColumn id="4" xr3:uid="{93F53E8D-61E2-423A-BAD1-76C3EADCAF7D}" name="DIFERENCIA" totalsRowFunction="sum" dataDxfId="173" totalsRowDxfId="80" dataCellStyle="Normal 2">
      <calculatedColumnFormula>Vivienda1224[[#This Row],[REAL]]-Vivienda1224[[#This Row],[PLANIFICADO]]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2CC1DF2-E15E-4140-AF5D-A3284C1E30D1}" name="Ingresos2334" displayName="Ingresos2334" ref="C16:F24" totalsRowCount="1" headerRowDxfId="102" dataDxfId="101" totalsRowDxfId="100">
  <autoFilter ref="C16:F2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CC07BFB3-6D5C-43A9-B2B7-9FE03703C604}" name="INGRESOS" totalsRowLabel="Total" dataDxfId="99" totalsRowDxfId="3"/>
    <tableColumn id="2" xr3:uid="{CF71CF21-B78E-41FF-A03B-6D4C633225B4}" name="PLANIFICADO" totalsRowFunction="sum" dataDxfId="98" totalsRowDxfId="2"/>
    <tableColumn id="3" xr3:uid="{B22FD71D-3A63-4E36-9772-723C92A36229}" name="REAL" totalsRowFunction="sum" dataDxfId="97" totalsRowDxfId="1"/>
    <tableColumn id="4" xr3:uid="{8FC810F8-7B30-4CC9-BE31-698A7DDE9A4C}" name="DIFERENCIA" totalsRowFunction="sum" dataDxfId="96" totalsRowDxfId="0">
      <calculatedColumnFormula>Ingresos2334[[#This Row],[REAL]]-Ingresos2334[[#This Row],[PLANIFICADO]]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6D83804-3EE7-4EA5-BDF8-69FDB8660595}" name="Impuestos1728" displayName="Impuestos1728" ref="H44:K49" totalsRowCount="1" headerRowDxfId="148" dataDxfId="147" totalsRowDxfId="146" tableBorderDxfId="145">
  <autoFilter ref="H44:K48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91345515-4248-4A85-B559-2CC6D33AC2AB}" name="IMPUESTOS" totalsRowLabel="Total" dataDxfId="144" totalsRowDxfId="67" dataCellStyle="Normal 2" totalsRowCellStyle="Normal 2"/>
    <tableColumn id="2" xr3:uid="{5D290625-F112-4054-AA0B-BDFF2A40ACE4}" name="PLANIFICADO" totalsRowFunction="sum" dataDxfId="143" totalsRowDxfId="66" dataCellStyle="Normal 2" totalsRowCellStyle="Normal 2"/>
    <tableColumn id="3" xr3:uid="{70AF5160-0889-433E-8148-B865E630439E}" name="REAL" totalsRowFunction="sum" dataDxfId="142" totalsRowDxfId="65" dataCellStyle="Normal 2" totalsRowCellStyle="Normal 2"/>
    <tableColumn id="4" xr3:uid="{CF022865-FEAF-4FB2-B489-DADFA3311B36}" name="DIFERENCIA" totalsRowFunction="sum" dataDxfId="141" totalsRowDxfId="64" dataCellStyle="Normal 2" totalsRowCellStyle="Normal 2">
      <calculatedColumnFormula>Impuestos1728[[#This Row],[REAL]]-Impuestos1728[[#This Row],[PLANIFICADO]]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DDA72B9-562B-445F-BBF4-84ED45483BA6}" name="Vivienda12" displayName="Vivienda12" ref="C35:F46" totalsRowCount="1" headerRowDxfId="261" dataDxfId="260" totalsRowDxfId="259" tableBorderDxfId="258">
  <autoFilter ref="C35:F4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DEC6116B-0690-4FC5-8C91-3B5DB6509949}" name="VIVIENDA" totalsRowLabel="Total" dataDxfId="86" totalsRowDxfId="43" dataCellStyle="Normal 2"/>
    <tableColumn id="2" xr3:uid="{6D2DA5A7-49E5-45F5-89AC-B0A3E2865CF1}" name="PLANIFICADO" totalsRowFunction="sum" dataDxfId="257" totalsRowDxfId="42" dataCellStyle="Normal 2"/>
    <tableColumn id="3" xr3:uid="{FCD8294E-13B7-45FB-83A8-2F66F1D85E08}" name="REAL" totalsRowFunction="sum" dataDxfId="256" totalsRowDxfId="41" dataCellStyle="Normal 2"/>
    <tableColumn id="4" xr3:uid="{11EC0E8D-A162-408C-9FE8-70BA3938295C}" name="DIFERENCIA" totalsRowFunction="sum" dataDxfId="255" totalsRowDxfId="40" dataCellStyle="Normal 2">
      <calculatedColumnFormula>Vivienda12[[#This Row],[REAL]]-Vivienda12[[#This Row],[PLANIFICADO]]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701098B-A4C6-4513-908B-F064A1CCF65B}" name="Seguros14" displayName="Seguros14" ref="H58:K63" totalsRowCount="1" headerRowDxfId="254" dataDxfId="253" totalsRowDxfId="252" tableBorderDxfId="251">
  <autoFilter ref="H58:K6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BCC23BD1-73AC-46BA-8B2D-773EB6BF4E25}" name="SEGUROS" totalsRowLabel="Total" dataDxfId="250" totalsRowDxfId="23" dataCellStyle="Normal 2" totalsRowCellStyle="Normal 2"/>
    <tableColumn id="2" xr3:uid="{88906519-E89D-40C2-B19F-ABA9FA59F2C8}" name="PLANIFICADO" totalsRowFunction="sum" dataDxfId="249" totalsRowDxfId="22" dataCellStyle="Normal 2" totalsRowCellStyle="Normal 2"/>
    <tableColumn id="3" xr3:uid="{1BAC8F9B-F1DC-49E9-85ED-EF62E7E4D741}" name="REAL" totalsRowFunction="sum" dataDxfId="248" totalsRowDxfId="21" dataCellStyle="Normal 2" totalsRowCellStyle="Normal 2"/>
    <tableColumn id="4" xr3:uid="{C818AB51-5204-40E7-B3DE-69B8B674CA29}" name="DIFERENCIA" totalsRowFunction="sum" dataDxfId="247" totalsRowDxfId="20" dataCellStyle="Normal 2" totalsRowCellStyle="Normal 2">
      <calculatedColumnFormula>Seguros14[[#This Row],[REAL]]-Seguros14[[#This Row],[PLANIFICADO]]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83ED3EB-417F-4EAC-A129-66E653AB5FBC}" name="Mascotas15" displayName="Mascotas15" ref="C65:F71" totalsRowCount="1" headerRowDxfId="246" dataDxfId="245" totalsRowDxfId="244" tableBorderDxfId="243">
  <autoFilter ref="C65:F7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C161A738-B183-4637-8D36-D0DDD5C74C52}" name="MASCOTAS" totalsRowLabel="Total" dataDxfId="242" totalsRowDxfId="15" dataCellStyle="Normal 2" totalsRowCellStyle="Normal 2"/>
    <tableColumn id="2" xr3:uid="{810BACE9-C3C2-42D8-B12C-6BF36F7173D9}" name="PLANIFICADO" totalsRowFunction="sum" dataDxfId="241" totalsRowDxfId="14" dataCellStyle="Normal 2" totalsRowCellStyle="Normal 2"/>
    <tableColumn id="3" xr3:uid="{FA3328D0-499D-4F96-87D9-136F6E5DB316}" name="REAL" totalsRowFunction="sum" dataDxfId="240" totalsRowDxfId="13" dataCellStyle="Normal 2" totalsRowCellStyle="Normal 2"/>
    <tableColumn id="4" xr3:uid="{586BD16F-197A-4048-ADE2-1D4F598FB2EA}" name="DIFERENCIA" totalsRowFunction="sum" dataDxfId="239" totalsRowDxfId="12" dataCellStyle="Normal 2" totalsRowCellStyle="Normal 2">
      <calculatedColumnFormula>Mascotas15[[#This Row],[REAL]]-Mascotas15[[#This Row],[PLANIFICADO]]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DE8BFA-F032-4FB2-8E12-75A5C8947DB6}" name="Alimentación16" displayName="Alimentación16" ref="C58:F62" totalsRowCount="1" headerRowDxfId="238" dataDxfId="237" totalsRowDxfId="236" tableBorderDxfId="235">
  <autoFilter ref="C58:F61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478826FD-25D8-446A-AE9A-1252ED94334C}" name="ALIMENTACIÓN" totalsRowLabel="Total" dataDxfId="234" totalsRowDxfId="19" dataCellStyle="Normal 2" totalsRowCellStyle="Normal 2"/>
    <tableColumn id="2" xr3:uid="{129A7F9A-64B8-4B9D-A8A7-C0BDA283C825}" name="PLANIFICADO" totalsRowFunction="sum" dataDxfId="233" totalsRowDxfId="18" dataCellStyle="Normal 2" totalsRowCellStyle="Normal 2"/>
    <tableColumn id="3" xr3:uid="{97BC7C8C-AC34-4E41-865B-06F840E2D2BF}" name="REAL" totalsRowFunction="sum" dataDxfId="232" totalsRowDxfId="17" dataCellStyle="Normal 2" totalsRowCellStyle="Normal 2"/>
    <tableColumn id="4" xr3:uid="{421C8CEA-321B-4F51-AB3A-D13DF975DDA5}" name="DIFERENCIA" totalsRowFunction="sum" dataDxfId="231" totalsRowDxfId="16" dataCellStyle="Normal 2" totalsRowCellStyle="Normal 2">
      <calculatedColumnFormula>Alimentación16[[#This Row],[REAL]]-Alimentación16[[#This Row],[PLANIFICADO]]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1461511-2F4F-440B-BAB9-F158F4E63444}" name="Impuestos17" displayName="Impuestos17" ref="H44:K49" totalsRowCount="1" headerRowDxfId="230" dataDxfId="229" totalsRowDxfId="228" tableBorderDxfId="227">
  <autoFilter ref="H44:K48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11325C8A-115F-440C-994E-191F647139AD}" name="IMPUESTOS" totalsRowLabel="Total" dataDxfId="226" totalsRowDxfId="35" dataCellStyle="Normal 2" totalsRowCellStyle="Normal 2"/>
    <tableColumn id="2" xr3:uid="{B9EEE129-57FE-4E71-83CD-DD8C2B21AAAE}" name="PLANIFICADO" totalsRowFunction="sum" dataDxfId="225" totalsRowDxfId="34" dataCellStyle="Normal 2" totalsRowCellStyle="Normal 2"/>
    <tableColumn id="3" xr3:uid="{443CD51D-3354-433E-A964-DB1FBE3C5D02}" name="REAL" totalsRowFunction="sum" dataDxfId="224" totalsRowDxfId="33" dataCellStyle="Normal 2" totalsRowCellStyle="Normal 2"/>
    <tableColumn id="4" xr3:uid="{06AE7FAC-C68D-4C98-9289-1DB263F85CF6}" name="DIFERENCIA" totalsRowFunction="sum" dataDxfId="223" totalsRowDxfId="32" dataCellStyle="Normal 2" totalsRowCellStyle="Normal 2">
      <calculatedColumnFormula>Impuestos17[[#This Row],[REAL]]-Impuestos17[[#This Row],[PLANIFICADO]]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EC0C1A3-992D-4A43-978B-E9EE69D61927}" name="Transporte18" displayName="Transporte18" ref="C48:F56" totalsRowCount="1" headerRowDxfId="222" dataDxfId="221" totalsRowDxfId="220" tableBorderDxfId="219">
  <autoFilter ref="C48:F55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8C1B043E-5E86-47DA-A31D-24A8F864A07F}" name="TRANSPORTE" totalsRowLabel="Total" dataDxfId="87" totalsRowDxfId="31" dataCellStyle="Normal 2"/>
    <tableColumn id="2" xr3:uid="{75B88E9A-EF8C-4897-92FB-1140E3E64681}" name="PLANIFICADO" totalsRowFunction="sum" dataDxfId="218" totalsRowDxfId="30" dataCellStyle="Normal 2"/>
    <tableColumn id="3" xr3:uid="{FF83F928-D40A-45FD-9D36-1CA63DAAC3ED}" name="REAL" totalsRowFunction="sum" dataDxfId="217" totalsRowDxfId="29" dataCellStyle="Normal 2"/>
    <tableColumn id="4" xr3:uid="{2A9B6927-442B-46DA-8A7C-E856A5E3CDD2}" name="DIFERENCIA" totalsRowFunction="sum" dataDxfId="216" totalsRowDxfId="28" dataCellStyle="Normal 2">
      <calculatedColumnFormula>Transporte18[[#This Row],[REAL]]-Transporte18[[#This Row],[PLANIFICADO]]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01BA7E-8003-4363-80A2-FE8FFC70AA8E}" name="Prestamo19" displayName="Prestamo19" ref="H35:K42" totalsRowCount="1" headerRowDxfId="215" dataDxfId="214" totalsRowDxfId="213" tableBorderDxfId="212">
  <autoFilter ref="H35:K4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FEB018EF-1E3D-4185-82B6-EFCB547CF9B4}" name="PRÉSTAMOS" totalsRowLabel="Total" dataDxfId="211" totalsRowDxfId="39" dataCellStyle="Normal 2" totalsRowCellStyle="Normal 2"/>
    <tableColumn id="2" xr3:uid="{489FE96E-DBD6-448C-8389-C1F14E273FAB}" name="PLANIFICADO" totalsRowFunction="sum" dataDxfId="210" totalsRowDxfId="38" dataCellStyle="Normal 2" totalsRowCellStyle="Normal 2"/>
    <tableColumn id="3" xr3:uid="{540314EF-8CC4-4860-BF8D-73B89700827D}" name="REAL" totalsRowFunction="sum" dataDxfId="209" totalsRowDxfId="37" dataCellStyle="Normal 2" totalsRowCellStyle="Normal 2"/>
    <tableColumn id="4" xr3:uid="{B5DEDB60-F480-4A6A-BA28-A73B4B6ED6B7}" name="DIFERENCIA" totalsRowFunction="sum" dataDxfId="208" totalsRowDxfId="36" dataCellStyle="Normal 2" totalsRowCellStyle="Normal 2">
      <calculatedColumnFormula>Prestamo19[[#This Row],[REAL]]-Prestamo19[[#This Row],[PLANIFICADO]]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8DF9E3-5552-437F-8DDC-E837D1358EA1}" name="Inversiones20" displayName="Inversiones20" ref="H51:K55" totalsRowCount="1" headerRowDxfId="207" dataDxfId="206" totalsRowDxfId="205" tableBorderDxfId="204">
  <autoFilter ref="H51:K54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298E0BAD-EA3A-433A-8406-162A1B2BCB4E}" name="AHORROS O INVERSIONES" totalsRowLabel="Total" dataDxfId="203" totalsRowDxfId="27" dataCellStyle="Normal 2" totalsRowCellStyle="Normal 2"/>
    <tableColumn id="2" xr3:uid="{9FC498DE-B0D5-430A-8F54-DEAA9E70A1E5}" name="PLANIFICADO" totalsRowFunction="sum" dataDxfId="202" totalsRowDxfId="26" dataCellStyle="Normal 2" totalsRowCellStyle="Normal 2"/>
    <tableColumn id="3" xr3:uid="{C54C07CF-8D0E-432D-9326-AD40239001E9}" name="REAL" totalsRowFunction="sum" dataDxfId="201" totalsRowDxfId="25" dataCellStyle="Normal 2" totalsRowCellStyle="Normal 2"/>
    <tableColumn id="4" xr3:uid="{C0511821-E327-4D38-829C-F572E7737838}" name="DIFERENCIA" totalsRowFunction="sum" dataDxfId="200" totalsRowDxfId="24" dataCellStyle="Normal 2" totalsRowCellStyle="Normal 2">
      <calculatedColumnFormula>Inversiones20[[#This Row],[REAL]]-Inversiones20[[#This Row],[PLANIFICADO]]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B744941-7270-4335-B00C-202F6852CD60}" name="Seguros1425" displayName="Seguros1425" ref="H58:K63" totalsRowCount="1" headerRowDxfId="172" dataDxfId="171" totalsRowDxfId="170" tableBorderDxfId="169">
  <autoFilter ref="H58:K6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10753335-124B-47E1-A789-383CEC86AA70}" name="SEGUROS" totalsRowLabel="Total" dataDxfId="168" totalsRowDxfId="63" dataCellStyle="Normal 2" totalsRowCellStyle="Normal 2"/>
    <tableColumn id="2" xr3:uid="{E72CA456-DD97-4685-A42B-2D0C3A4CE650}" name="PLANIFICADO" totalsRowFunction="sum" dataDxfId="167" totalsRowDxfId="62" dataCellStyle="Normal 2" totalsRowCellStyle="Normal 2"/>
    <tableColumn id="3" xr3:uid="{F8EEFED5-ABD1-4528-B12D-24058D9AF76D}" name="REAL" totalsRowFunction="sum" dataDxfId="166" totalsRowDxfId="61" dataCellStyle="Normal 2" totalsRowCellStyle="Normal 2"/>
    <tableColumn id="4" xr3:uid="{2C43B589-A085-4E5C-8E53-B8099AFFB438}" name="DIFERENCIA" totalsRowFunction="sum" dataDxfId="165" totalsRowDxfId="60" dataCellStyle="Normal 2" totalsRowCellStyle="Normal 2">
      <calculatedColumnFormula>Seguros1425[[#This Row],[REAL]]-Seguros1425[[#This Row],[PLANIFICADO]]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324DC60-205D-4075-81AB-2D157F873715}" name="CuidadoPersonal21" displayName="CuidadoPersonal21" ref="C74:F82" totalsRowCount="1" headerRowDxfId="199" dataDxfId="198" totalsRowDxfId="197" tableBorderDxfId="196">
  <autoFilter ref="C74:F81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89FDB610-0115-48EF-B872-B44FF2860CF4}" name="CUIDADO PERSONAL" totalsRowLabel="Total" dataDxfId="195" totalsRowDxfId="7" dataCellStyle="Normal 2" totalsRowCellStyle="Normal 2"/>
    <tableColumn id="2" xr3:uid="{BF970E81-FE78-42CA-97B5-5F8901A1D2CA}" name="PLANIFICADO" totalsRowFunction="sum" dataDxfId="194" totalsRowDxfId="6" dataCellStyle="Normal 2" totalsRowCellStyle="Normal 2"/>
    <tableColumn id="3" xr3:uid="{8468E7C7-3D49-4C73-B0C7-08390E7CC137}" name="REAL" totalsRowFunction="sum" dataDxfId="193" totalsRowDxfId="5" dataCellStyle="Normal 2" totalsRowCellStyle="Normal 2"/>
    <tableColumn id="4" xr3:uid="{B5FC08CC-689A-4169-98CF-3AF5943A7F90}" name="DIFERENCIA" totalsRowFunction="sum" dataDxfId="192" totalsRowDxfId="4" dataCellStyle="Normal 2" totalsRowCellStyle="Normal 2">
      <calculatedColumnFormula>CuidadoPersonal21[[#This Row],[REAL]]-CuidadoPersonal21[[#This Row],[PLANIFICADO]]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062BDF4-596A-4366-A425-A3DBD979D7AC}" name="Ocio22" displayName="Ocio22" ref="H65:K75" totalsRowCount="1" headerRowDxfId="191" dataDxfId="190" totalsRowDxfId="189" tableBorderDxfId="188">
  <autoFilter ref="H65:K7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8F02C38-1E3C-4DBD-8AEC-F8E9526576DA}" name="OCIO" totalsRowLabel="Total" dataDxfId="187" totalsRowDxfId="11" dataCellStyle="Normal 2" totalsRowCellStyle="Normal 2"/>
    <tableColumn id="2" xr3:uid="{8A719353-1CEC-42B1-AC77-615A0F55BA12}" name="PLANIFICADO" totalsRowFunction="sum" dataDxfId="186" totalsRowDxfId="10" dataCellStyle="Normal 2" totalsRowCellStyle="Normal 2"/>
    <tableColumn id="3" xr3:uid="{4751CB7B-9535-42A6-90B5-9F90AE3961C7}" name="REAL" totalsRowFunction="sum" dataDxfId="185" totalsRowDxfId="9" dataCellStyle="Normal 2" totalsRowCellStyle="Normal 2"/>
    <tableColumn id="4" xr3:uid="{F561FA06-BB93-4DBF-85CB-31FC429C3C05}" name="DIFERENCIA" totalsRowFunction="sum" dataDxfId="184" totalsRowDxfId="8" dataCellStyle="Normal 2" totalsRowCellStyle="Normal 2">
      <calculatedColumnFormula>Ocio22[[#This Row],[REAL]]-Ocio22[[#This Row],[PLANIFICADO]]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8F35B2B-1954-4EC0-BFA5-713859054517}" name="Ingresos23" displayName="Ingresos23" ref="C16:F24" totalsRowCount="1" headerRowDxfId="183" dataDxfId="182" totalsRowDxfId="181">
  <autoFilter ref="C16:F2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53D1AC10-48E6-4188-9A08-FC70AD160630}" name="INGRESOS" totalsRowLabel="Total" dataDxfId="95" totalsRowDxfId="91"/>
    <tableColumn id="2" xr3:uid="{62349CDA-A0FB-4C80-90D9-0693A2B2A9A7}" name="PLANEADO" totalsRowFunction="sum" dataDxfId="94" totalsRowDxfId="90"/>
    <tableColumn id="3" xr3:uid="{D27868C6-CF8C-44F5-B9F4-4B914C91DA40}" name="REAL" totalsRowFunction="sum" dataDxfId="93" totalsRowDxfId="89"/>
    <tableColumn id="4" xr3:uid="{4E86A47B-4F3A-4CF1-9081-E278F7DA9C3A}" name="DIFERENCIA" totalsRowFunction="sum" dataDxfId="92" totalsRowDxfId="88">
      <calculatedColumnFormula>Ingresos23[[#This Row],[REAL]]-Ingresos23[[#This Row],[PLANEADO]]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9782A84-9717-44F9-8CB1-60123EF19884}" name="Mascotas1526" displayName="Mascotas1526" ref="C65:F71" totalsRowCount="1" headerRowDxfId="164" dataDxfId="163" totalsRowDxfId="162" tableBorderDxfId="161">
  <autoFilter ref="C65:F7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EF371C18-4AFA-4DE4-83ED-65D386471351}" name="MASCOTAS" totalsRowLabel="Total" dataDxfId="160" totalsRowDxfId="55" dataCellStyle="Normal 2" totalsRowCellStyle="Normal 2"/>
    <tableColumn id="2" xr3:uid="{9A0456EC-62A9-4932-AE88-5C833292CE2B}" name="PLANIFICADO" totalsRowFunction="sum" dataDxfId="159" totalsRowDxfId="54" dataCellStyle="Normal 2" totalsRowCellStyle="Normal 2"/>
    <tableColumn id="3" xr3:uid="{03A40A89-ED79-4897-A6B9-E1ECD08402BC}" name="REAL" totalsRowFunction="sum" dataDxfId="158" totalsRowDxfId="53" dataCellStyle="Normal 2" totalsRowCellStyle="Normal 2"/>
    <tableColumn id="4" xr3:uid="{3FBA12F3-A095-4957-92D0-249F763EEB17}" name="DIFERENCIA" totalsRowFunction="sum" dataDxfId="157" totalsRowDxfId="52" dataCellStyle="Normal 2" totalsRowCellStyle="Normal 2">
      <calculatedColumnFormula>Mascotas1526[[#This Row],[REAL]]-Mascotas1526[[#This Row],[PLANIFICADO]]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DA0E480-D4C5-4501-945C-B97B1A51AC76}" name="Alimentación1627" displayName="Alimentación1627" ref="C58:F62" totalsRowCount="1" headerRowDxfId="156" dataDxfId="155" totalsRowDxfId="154" tableBorderDxfId="153">
  <autoFilter ref="C58:F61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953D5F5A-A710-447C-9646-D7423E6E0A33}" name="ALIMENTACIÓN" totalsRowLabel="Total" dataDxfId="152" totalsRowDxfId="59" dataCellStyle="Normal 2" totalsRowCellStyle="Normal 2"/>
    <tableColumn id="2" xr3:uid="{00C3062E-BE82-47FD-B9B1-5AA8C34059E7}" name="PLANIFICADO" totalsRowFunction="sum" dataDxfId="151" totalsRowDxfId="58" dataCellStyle="Normal 2" totalsRowCellStyle="Normal 2"/>
    <tableColumn id="3" xr3:uid="{AF8E99EF-62C2-43BD-A6E3-CCC00D7FC2C4}" name="REAL" totalsRowFunction="sum" dataDxfId="150" totalsRowDxfId="57" dataCellStyle="Normal 2" totalsRowCellStyle="Normal 2"/>
    <tableColumn id="4" xr3:uid="{47694CBF-787E-4268-AA1D-F9DDE5F754BE}" name="DIFERENCIA" totalsRowFunction="sum" dataDxfId="149" totalsRowDxfId="56" dataCellStyle="Normal 2" totalsRowCellStyle="Normal 2">
      <calculatedColumnFormula>Alimentación1627[[#This Row],[REAL]]-Alimentación1627[[#This Row],[PLANIFICADO]]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C67B09A-B2A6-490B-A35A-8CACD5EF18FD}" name="Transporte1829" displayName="Transporte1829" ref="C48:F56" totalsRowCount="1" headerRowDxfId="140" dataDxfId="139" totalsRowDxfId="138" tableBorderDxfId="137">
  <autoFilter ref="C48:F55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163E687C-C45F-4C95-9350-A03CA3A9DBC6}" name="TRANSPORTE" totalsRowLabel="Total" dataDxfId="136" totalsRowDxfId="75" dataCellStyle="Normal 2"/>
    <tableColumn id="2" xr3:uid="{A4F1DEC6-6015-4A55-A74A-90A4647B1A39}" name="PLANIFICADO" totalsRowFunction="sum" dataDxfId="135" totalsRowDxfId="74" dataCellStyle="Normal 2"/>
    <tableColumn id="3" xr3:uid="{6C155597-D3A3-41D1-B09B-EF7DB66F72BF}" name="REAL" totalsRowFunction="sum" dataDxfId="134" totalsRowDxfId="73" dataCellStyle="Normal 2"/>
    <tableColumn id="4" xr3:uid="{12B7FC8C-1CEE-4B2A-9E6D-D8A80C98B02F}" name="DIFERENCIA" totalsRowFunction="sum" dataDxfId="133" totalsRowDxfId="72" dataCellStyle="Normal 2">
      <calculatedColumnFormula>Transporte1829[[#This Row],[REAL]]-Transporte1829[[#This Row],[PLANIFICADO]]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710E7E0-B15D-491D-937B-6897215D277E}" name="Prestamo1930" displayName="Prestamo1930" ref="H35:K42" totalsRowCount="1" headerRowDxfId="132" dataDxfId="131" totalsRowDxfId="130" tableBorderDxfId="129">
  <autoFilter ref="H35:K4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B3019AFF-AF93-40FB-9170-C16D7FF0103C}" name="PRÉSTAMOS" totalsRowLabel="Total" dataDxfId="128" totalsRowDxfId="79" dataCellStyle="Normal 2" totalsRowCellStyle="Normal 2"/>
    <tableColumn id="2" xr3:uid="{C7B6C9BA-1158-49BB-9014-D4DB03129CE8}" name="PLANIFICADO" totalsRowFunction="sum" dataDxfId="127" totalsRowDxfId="78" dataCellStyle="Normal 2" totalsRowCellStyle="Normal 2"/>
    <tableColumn id="3" xr3:uid="{62FD9B08-6BB8-45F3-BA00-CBED9B49EEA8}" name="REAL" totalsRowFunction="sum" dataDxfId="126" totalsRowDxfId="77" dataCellStyle="Normal 2" totalsRowCellStyle="Normal 2"/>
    <tableColumn id="4" xr3:uid="{200FC90C-BD96-4350-A9AE-35F949C9CFFF}" name="DIFERENCIA" totalsRowFunction="sum" dataDxfId="125" totalsRowDxfId="76" dataCellStyle="Normal 2" totalsRowCellStyle="Normal 2">
      <calculatedColumnFormula>Prestamo1930[[#This Row],[REAL]]-Prestamo1930[[#This Row],[PLANIFICADO]]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49B8B46-9B20-42EB-B826-5501575E45DD}" name="Inversiones2031" displayName="Inversiones2031" ref="H51:K55" totalsRowCount="1" headerRowDxfId="124" dataDxfId="123" totalsRowDxfId="122" tableBorderDxfId="121">
  <autoFilter ref="H51:K54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B2CD6BEA-C89B-4A0D-9B15-2221AAB30DBF}" name="AHORROS O INVERSIONES" totalsRowLabel="Total" dataDxfId="85" totalsRowDxfId="71" dataCellStyle="Normal 2"/>
    <tableColumn id="2" xr3:uid="{E3AA24CC-5E2A-492B-9A19-187B6EA0CC0C}" name="PLANIFICADO" totalsRowFunction="sum" dataDxfId="120" totalsRowDxfId="70" dataCellStyle="Normal 2"/>
    <tableColumn id="3" xr3:uid="{92FAE481-A553-4E15-B6CE-BA5363AD9F0C}" name="REAL" totalsRowFunction="sum" dataDxfId="119" totalsRowDxfId="69" dataCellStyle="Normal 2"/>
    <tableColumn id="4" xr3:uid="{DEBBA348-878F-42E0-B07B-54DB79F4DF02}" name="DIFERENCIA" totalsRowFunction="sum" dataDxfId="118" totalsRowDxfId="68" dataCellStyle="Normal 2">
      <calculatedColumnFormula>Inversiones2031[[#This Row],[REAL]]-Inversiones2031[[#This Row],[PLANIFICADO]]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68D9FA9-C146-4428-B328-276FA04D842F}" name="CuidadoPersonal2132" displayName="CuidadoPersonal2132" ref="C74:F82" totalsRowCount="1" headerRowDxfId="117" dataDxfId="116" totalsRowDxfId="115" tableBorderDxfId="114">
  <autoFilter ref="C74:F81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2662BEB-7310-49F9-B60C-2A82405BEFB8}" name="CUIDADO PERSONAL" totalsRowLabel="Total" dataDxfId="113" totalsRowDxfId="47" dataCellStyle="Normal 2" totalsRowCellStyle="Normal 2"/>
    <tableColumn id="2" xr3:uid="{9F03FE11-0F51-42E5-BC0D-C4D7CC0343D7}" name="PLANIFICADO" totalsRowFunction="sum" dataDxfId="112" totalsRowDxfId="46" dataCellStyle="Normal 2" totalsRowCellStyle="Normal 2"/>
    <tableColumn id="3" xr3:uid="{925F0BA2-09DD-45C2-8430-B1F1DE327FAB}" name="REAL" totalsRowFunction="sum" dataDxfId="111" totalsRowDxfId="45" dataCellStyle="Normal 2" totalsRowCellStyle="Normal 2"/>
    <tableColumn id="4" xr3:uid="{969708B5-367B-4AFB-B917-5EB31498CD91}" name="DIFERENCIA" totalsRowFunction="sum" dataDxfId="110" totalsRowDxfId="44" dataCellStyle="Normal 2" totalsRowCellStyle="Normal 2">
      <calculatedColumnFormula>CuidadoPersonal2132[[#This Row],[REAL]]-CuidadoPersonal2132[[#This Row],[PLANIFICADO]]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C033BD8-D2CC-495B-A9E3-31B674314DED}" name="Ocio2233" displayName="Ocio2233" ref="H65:K75" totalsRowCount="1" headerRowDxfId="109" dataDxfId="108" totalsRowDxfId="107" tableBorderDxfId="106">
  <autoFilter ref="H65:K7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2C4FFAE9-FFB5-4CBE-B6D7-F21C9551A92F}" name="OCIO" totalsRowLabel="Total" dataDxfId="84" totalsRowDxfId="51" dataCellStyle="Normal 2"/>
    <tableColumn id="2" xr3:uid="{118B6E7C-8EA3-467B-A18D-34675EF39987}" name="PLANIFICADO" totalsRowFunction="sum" dataDxfId="105" totalsRowDxfId="50" dataCellStyle="Normal 2"/>
    <tableColumn id="3" xr3:uid="{0F771E81-5AD6-460C-AC78-7142C8FE4EF0}" name="REAL" totalsRowFunction="sum" dataDxfId="104" totalsRowDxfId="49" dataCellStyle="Normal 2"/>
    <tableColumn id="4" xr3:uid="{B01D6F71-46D5-44DA-9A6C-05A3A3EE1236}" name="DIFERENCIA" totalsRowFunction="sum" dataDxfId="103" totalsRowDxfId="48" dataCellStyle="Normal 2">
      <calculatedColumnFormula>Ocio2233[[#This Row],[REAL]]-Ocio2233[[#This Row],[PLANIFICADO]]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13" Type="http://schemas.openxmlformats.org/officeDocument/2006/relationships/table" Target="../tables/table22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12" Type="http://schemas.openxmlformats.org/officeDocument/2006/relationships/table" Target="../tables/table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"/>
  <sheetViews>
    <sheetView showGridLines="0" tabSelected="1" topLeftCell="A33" workbookViewId="0">
      <selection activeCell="I35" sqref="I35"/>
    </sheetView>
  </sheetViews>
  <sheetFormatPr baseColWidth="10" defaultColWidth="11.54296875" defaultRowHeight="15.5" x14ac:dyDescent="0.35"/>
  <cols>
    <col min="1" max="1" width="4" style="2" customWidth="1"/>
    <col min="2" max="11" width="18.453125" style="2" customWidth="1"/>
    <col min="12" max="16384" width="11.54296875" style="2"/>
  </cols>
  <sheetData>
    <row r="1" spans="2:12" ht="9.9" customHeight="1" x14ac:dyDescent="0.35"/>
    <row r="2" spans="2:12" customFormat="1" ht="54.9" customHeight="1" x14ac:dyDescent="0.35"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24" customHeight="1" x14ac:dyDescent="0.35"/>
    <row r="4" spans="2:12" ht="42" customHeight="1" x14ac:dyDescent="0.35">
      <c r="B4" s="3" t="s">
        <v>56</v>
      </c>
      <c r="C4" s="4"/>
      <c r="D4" s="4"/>
      <c r="E4" s="4"/>
      <c r="F4" s="4"/>
      <c r="G4" s="4"/>
      <c r="H4" s="4"/>
      <c r="I4" s="4"/>
      <c r="J4" s="4"/>
      <c r="K4" s="4"/>
    </row>
    <row r="5" spans="2:12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D6FD-0D0F-48BE-B316-D965BA7B6B57}">
  <sheetPr>
    <pageSetUpPr autoPageBreaks="0" fitToPage="1"/>
  </sheetPr>
  <dimension ref="A1:X86"/>
  <sheetViews>
    <sheetView showGridLines="0" topLeftCell="A59" zoomScaleNormal="100" workbookViewId="0">
      <selection activeCell="E17" sqref="E17"/>
    </sheetView>
  </sheetViews>
  <sheetFormatPr baseColWidth="10" defaultColWidth="9.08984375" defaultRowHeight="15.5" x14ac:dyDescent="0.35"/>
  <cols>
    <col min="1" max="1" width="3.453125" style="8" customWidth="1"/>
    <col min="2" max="2" width="13.7265625" style="8" customWidth="1"/>
    <col min="3" max="3" width="34.36328125" style="8" customWidth="1"/>
    <col min="4" max="4" width="17.6328125" style="8" bestFit="1" customWidth="1"/>
    <col min="5" max="5" width="15" style="8" customWidth="1"/>
    <col min="6" max="6" width="14.36328125" style="8" customWidth="1"/>
    <col min="7" max="7" width="2.90625" style="8" customWidth="1"/>
    <col min="8" max="8" width="20.08984375" style="8" customWidth="1"/>
    <col min="9" max="9" width="20.6328125" style="8" customWidth="1"/>
    <col min="10" max="10" width="21.54296875" style="8" customWidth="1"/>
    <col min="11" max="11" width="16" style="8" bestFit="1" customWidth="1"/>
    <col min="12" max="17" width="9.08984375" style="8"/>
    <col min="18" max="18" width="9.90625" style="8" bestFit="1" customWidth="1"/>
    <col min="19" max="16384" width="9.08984375" style="8"/>
  </cols>
  <sheetData>
    <row r="1" spans="1:11" s="71" customFormat="1" ht="70" customHeight="1" x14ac:dyDescent="0.35">
      <c r="A1" s="72"/>
      <c r="B1" s="72"/>
    </row>
    <row r="2" spans="1:11" ht="18" customHeight="1" x14ac:dyDescent="0.35">
      <c r="B2" s="7"/>
      <c r="C2" s="9"/>
      <c r="D2" s="9"/>
      <c r="E2" s="9"/>
      <c r="F2" s="9"/>
      <c r="G2" s="9"/>
      <c r="H2" s="9"/>
      <c r="I2" s="9"/>
      <c r="J2" s="9"/>
      <c r="K2" s="9"/>
    </row>
    <row r="3" spans="1:11" ht="21" x14ac:dyDescent="0.35">
      <c r="B3" s="7"/>
      <c r="C3" s="75" t="s">
        <v>60</v>
      </c>
      <c r="D3" s="75"/>
      <c r="E3" s="75"/>
      <c r="F3" s="9"/>
      <c r="G3" s="76" t="s">
        <v>3</v>
      </c>
      <c r="H3" s="76"/>
      <c r="I3" s="76"/>
      <c r="J3" s="76"/>
      <c r="K3" s="9"/>
    </row>
    <row r="4" spans="1:11" ht="14.25" customHeight="1" x14ac:dyDescent="0.35">
      <c r="B4" s="7"/>
      <c r="C4" s="9"/>
      <c r="D4" s="9"/>
      <c r="E4" s="9"/>
      <c r="F4" s="9"/>
      <c r="G4" s="9"/>
      <c r="H4" s="9"/>
      <c r="I4" s="9"/>
      <c r="J4" s="9"/>
      <c r="K4" s="9"/>
    </row>
    <row r="5" spans="1:11" x14ac:dyDescent="0.35">
      <c r="B5" s="7"/>
      <c r="C5" s="8" t="s">
        <v>61</v>
      </c>
      <c r="D5" s="73">
        <f>D12</f>
        <v>0</v>
      </c>
      <c r="E5" s="10"/>
      <c r="F5" s="10"/>
      <c r="G5" s="10"/>
      <c r="H5" s="8" t="s">
        <v>54</v>
      </c>
      <c r="I5" s="73">
        <f>D13</f>
        <v>0</v>
      </c>
      <c r="K5" s="9"/>
    </row>
    <row r="6" spans="1:11" x14ac:dyDescent="0.35">
      <c r="B6" s="7"/>
      <c r="C6" s="8" t="s">
        <v>62</v>
      </c>
      <c r="D6" s="74">
        <f>D30</f>
        <v>0</v>
      </c>
      <c r="E6" s="10"/>
      <c r="F6" s="10"/>
      <c r="G6" s="10"/>
      <c r="H6" s="8" t="s">
        <v>55</v>
      </c>
      <c r="I6" s="74">
        <f>D31</f>
        <v>0</v>
      </c>
      <c r="K6" s="9"/>
    </row>
    <row r="7" spans="1:11" x14ac:dyDescent="0.35">
      <c r="B7" s="7"/>
      <c r="C7" s="83" t="s">
        <v>0</v>
      </c>
      <c r="D7" s="84">
        <f>D5-D6</f>
        <v>0</v>
      </c>
      <c r="E7" s="11"/>
      <c r="F7" s="11"/>
      <c r="G7" s="11"/>
      <c r="H7" s="83" t="s">
        <v>0</v>
      </c>
      <c r="I7" s="84">
        <f>I5-I6</f>
        <v>0</v>
      </c>
      <c r="K7" s="9"/>
    </row>
    <row r="8" spans="1:11" x14ac:dyDescent="0.35">
      <c r="B8" s="7"/>
      <c r="C8" s="9"/>
      <c r="D8" s="9"/>
      <c r="E8" s="9"/>
      <c r="F8" s="9"/>
      <c r="G8" s="9"/>
      <c r="H8" s="9"/>
      <c r="I8" s="9"/>
      <c r="J8" s="9"/>
      <c r="K8" s="9"/>
    </row>
    <row r="9" spans="1:11" ht="15.75" customHeight="1" x14ac:dyDescent="0.35">
      <c r="B9" s="7"/>
      <c r="C9" s="12"/>
      <c r="D9" s="12"/>
      <c r="E9" s="12"/>
      <c r="F9" s="12"/>
      <c r="G9" s="12"/>
      <c r="H9" s="12"/>
      <c r="I9" s="12"/>
      <c r="J9" s="12"/>
      <c r="K9" s="12"/>
    </row>
    <row r="10" spans="1:11" ht="39.75" customHeight="1" thickBot="1" x14ac:dyDescent="0.55000000000000004">
      <c r="B10" s="7"/>
      <c r="C10" s="1" t="s">
        <v>57</v>
      </c>
      <c r="D10" s="13"/>
      <c r="E10" s="13"/>
      <c r="F10" s="13"/>
      <c r="G10" s="13"/>
      <c r="H10" s="13"/>
      <c r="I10" s="13"/>
      <c r="J10" s="13"/>
      <c r="K10" s="13"/>
    </row>
    <row r="11" spans="1:11" ht="27.75" customHeight="1" thickTop="1" x14ac:dyDescent="0.35">
      <c r="B11" s="7"/>
      <c r="C11" s="14"/>
      <c r="D11" s="15"/>
      <c r="E11" s="15"/>
      <c r="F11" s="15"/>
      <c r="G11" s="15"/>
      <c r="H11" s="15"/>
      <c r="I11" s="15"/>
      <c r="J11" s="15"/>
      <c r="K11" s="15"/>
    </row>
    <row r="12" spans="1:11" x14ac:dyDescent="0.35">
      <c r="B12" s="7"/>
      <c r="C12" s="93" t="s">
        <v>59</v>
      </c>
      <c r="D12" s="82">
        <f>Ingresos2334[[#Totals],[PLANIFICADO]]</f>
        <v>0</v>
      </c>
      <c r="E12" s="15"/>
      <c r="F12" s="15"/>
      <c r="G12" s="15"/>
      <c r="H12" s="15"/>
      <c r="I12" s="15"/>
      <c r="J12" s="15"/>
      <c r="K12" s="15"/>
    </row>
    <row r="13" spans="1:11" x14ac:dyDescent="0.35">
      <c r="B13" s="7"/>
      <c r="C13" s="93" t="s">
        <v>51</v>
      </c>
      <c r="D13" s="82">
        <f>Ingresos2334[[#Totals],[REAL]]</f>
        <v>0</v>
      </c>
      <c r="E13" s="15"/>
      <c r="F13" s="15"/>
      <c r="G13" s="15"/>
      <c r="H13" s="15"/>
      <c r="I13" s="15"/>
      <c r="J13" s="15"/>
      <c r="K13" s="15"/>
    </row>
    <row r="14" spans="1:11" x14ac:dyDescent="0.35">
      <c r="B14" s="7"/>
      <c r="C14" s="79" t="s">
        <v>0</v>
      </c>
      <c r="D14" s="81">
        <f>D13-D12</f>
        <v>0</v>
      </c>
      <c r="E14" s="16" t="str">
        <f>IF(D14=0,"",IF(D14&gt;0,"Los ingresos fueron mayores a los planeados","Los ingresos fueron menores a los planeados"))</f>
        <v/>
      </c>
      <c r="F14" s="15"/>
      <c r="G14" s="15"/>
      <c r="H14" s="15"/>
      <c r="I14" s="15"/>
      <c r="J14" s="15"/>
      <c r="K14" s="15"/>
    </row>
    <row r="15" spans="1:11" ht="21" customHeight="1" x14ac:dyDescent="0.35">
      <c r="B15" s="7"/>
    </row>
    <row r="16" spans="1:11" ht="27" customHeight="1" x14ac:dyDescent="0.35">
      <c r="B16" s="7"/>
      <c r="C16" s="17" t="s">
        <v>49</v>
      </c>
      <c r="D16" s="18" t="s">
        <v>60</v>
      </c>
      <c r="E16" s="19" t="s">
        <v>3</v>
      </c>
      <c r="F16" s="18" t="s">
        <v>4</v>
      </c>
    </row>
    <row r="17" spans="2:11" x14ac:dyDescent="0.35">
      <c r="B17" s="7"/>
      <c r="C17" s="20" t="s">
        <v>50</v>
      </c>
      <c r="D17" s="21"/>
      <c r="E17" s="21"/>
      <c r="F17" s="22">
        <f>Ingresos2334[[#This Row],[REAL]]-Ingresos2334[[#This Row],[PLANIFICADO]]</f>
        <v>0</v>
      </c>
    </row>
    <row r="18" spans="2:11" x14ac:dyDescent="0.35">
      <c r="B18" s="7"/>
      <c r="C18" s="20" t="s">
        <v>64</v>
      </c>
      <c r="D18" s="21"/>
      <c r="E18" s="21"/>
      <c r="F18" s="22">
        <f>Ingresos2334[[#This Row],[REAL]]-Ingresos2334[[#This Row],[PLANIFICADO]]</f>
        <v>0</v>
      </c>
    </row>
    <row r="19" spans="2:11" x14ac:dyDescent="0.35">
      <c r="B19" s="7"/>
      <c r="C19" s="94" t="s">
        <v>15</v>
      </c>
      <c r="D19" s="21"/>
      <c r="E19" s="21"/>
      <c r="F19" s="22">
        <f>Ingresos2334[[#This Row],[REAL]]-Ingresos2334[[#This Row],[PLANIFICADO]]</f>
        <v>0</v>
      </c>
    </row>
    <row r="20" spans="2:11" x14ac:dyDescent="0.35">
      <c r="B20" s="7"/>
      <c r="C20" s="23" t="s">
        <v>15</v>
      </c>
      <c r="D20" s="24"/>
      <c r="E20" s="25"/>
      <c r="F20" s="26">
        <f>Ingresos2334[[#This Row],[REAL]]-Ingresos2334[[#This Row],[PLANIFICADO]]</f>
        <v>0</v>
      </c>
    </row>
    <row r="21" spans="2:11" x14ac:dyDescent="0.35">
      <c r="B21" s="7"/>
      <c r="C21" s="23" t="s">
        <v>15</v>
      </c>
      <c r="D21" s="24"/>
      <c r="E21" s="25"/>
      <c r="F21" s="26">
        <f>Ingresos2334[[#This Row],[REAL]]-Ingresos2334[[#This Row],[PLANIFICADO]]</f>
        <v>0</v>
      </c>
    </row>
    <row r="22" spans="2:11" x14ac:dyDescent="0.35">
      <c r="B22" s="7"/>
      <c r="C22" s="23" t="s">
        <v>15</v>
      </c>
      <c r="D22" s="24"/>
      <c r="E22" s="25"/>
      <c r="F22" s="26">
        <f>Ingresos2334[[#This Row],[REAL]]-Ingresos2334[[#This Row],[PLANIFICADO]]</f>
        <v>0</v>
      </c>
    </row>
    <row r="23" spans="2:11" x14ac:dyDescent="0.35">
      <c r="B23" s="7"/>
      <c r="C23" s="23" t="s">
        <v>15</v>
      </c>
      <c r="D23" s="24"/>
      <c r="E23" s="25"/>
      <c r="F23" s="26">
        <f>Ingresos2334[[#This Row],[REAL]]-Ingresos2334[[#This Row],[PLANIFICADO]]</f>
        <v>0</v>
      </c>
    </row>
    <row r="24" spans="2:11" ht="20.25" customHeight="1" x14ac:dyDescent="0.35">
      <c r="B24" s="7"/>
      <c r="C24" s="27" t="s">
        <v>16</v>
      </c>
      <c r="D24" s="28">
        <f>SUBTOTAL(109,Ingresos2334[PLANIFICADO])</f>
        <v>0</v>
      </c>
      <c r="E24" s="28">
        <f>SUBTOTAL(109,Ingresos2334[REAL])</f>
        <v>0</v>
      </c>
      <c r="F24" s="28">
        <f>SUBTOTAL(109,Ingresos2334[DIFERENCIA])</f>
        <v>0</v>
      </c>
    </row>
    <row r="25" spans="2:11" x14ac:dyDescent="0.35">
      <c r="B25" s="7"/>
    </row>
    <row r="26" spans="2:11" x14ac:dyDescent="0.35">
      <c r="B26" s="7"/>
    </row>
    <row r="27" spans="2:11" ht="21.5" thickBot="1" x14ac:dyDescent="0.55000000000000004">
      <c r="B27" s="7"/>
      <c r="C27" s="85" t="s">
        <v>58</v>
      </c>
      <c r="D27" s="29"/>
      <c r="E27" s="29"/>
      <c r="F27" s="29"/>
      <c r="G27" s="29"/>
      <c r="H27" s="29"/>
      <c r="I27" s="29"/>
      <c r="J27" s="29"/>
      <c r="K27" s="29"/>
    </row>
    <row r="28" spans="2:11" ht="16" thickTop="1" x14ac:dyDescent="0.35">
      <c r="B28" s="7"/>
    </row>
    <row r="29" spans="2:11" x14ac:dyDescent="0.35">
      <c r="B29" s="7"/>
    </row>
    <row r="30" spans="2:11" x14ac:dyDescent="0.35">
      <c r="B30" s="7"/>
      <c r="C30" s="86" t="s">
        <v>63</v>
      </c>
      <c r="D30" s="87">
        <f>Vivienda1224[[#Totals],[PLANIFICADO]]+Prestamo1930[[#Totals],[PLANIFICADO]]+Impuestos1728[[#Totals],[PLANIFICADO]]+Transporte1829[[#Totals],[PLANIFICADO]]+Inversiones2031[[#Totals],[PLANIFICADO]]+Alimentación1627[[#Totals],[PLANIFICADO]]+Seguros1425[[#Totals],[PLANIFICADO]]+Mascotas1526[[#Totals],[PLANIFICADO]]+Ocio2233[[#Totals],[PLANIFICADO]]+CuidadoPersonal2132[[#Totals],[PLANIFICADO]]</f>
        <v>0</v>
      </c>
    </row>
    <row r="31" spans="2:11" x14ac:dyDescent="0.35">
      <c r="B31" s="7"/>
      <c r="C31" s="86" t="s">
        <v>52</v>
      </c>
      <c r="D31" s="87">
        <f>Vivienda1224[[#Totals],[REAL]]+Prestamo1930[[#Totals],[REAL]]+Impuestos1728[[#Totals],[REAL]]+Inversiones2031[[#Totals],[REAL]]+Transporte1829[[#Totals],[REAL]]+Alimentación1627[[#Totals],[REAL]]+Seguros1425[[#Totals],[REAL]]+Mascotas1526[[#Totals],[REAL]]+Ocio2233[[#Totals],[REAL]]+CuidadoPersonal2132[[#Totals],[REAL]]</f>
        <v>0</v>
      </c>
    </row>
    <row r="32" spans="2:11" x14ac:dyDescent="0.35">
      <c r="B32" s="7"/>
      <c r="C32" s="79" t="s">
        <v>0</v>
      </c>
      <c r="D32" s="81">
        <f>D31-D30</f>
        <v>0</v>
      </c>
      <c r="E32" s="16" t="str">
        <f>IF(D32=0,"",IF(D32&gt;0,"Los gastos fueron mayores a los planeados","Los gastos fueron menores a los planeados"))</f>
        <v/>
      </c>
    </row>
    <row r="33" spans="2:24" x14ac:dyDescent="0.35">
      <c r="B33" s="7"/>
    </row>
    <row r="34" spans="2:24" ht="15.9" customHeight="1" x14ac:dyDescent="0.35">
      <c r="B34" s="30"/>
      <c r="C34" s="31"/>
      <c r="D34" s="31"/>
      <c r="E34" s="32"/>
      <c r="F34" s="33"/>
      <c r="G34" s="34"/>
      <c r="H34" s="35"/>
      <c r="I34" s="35"/>
      <c r="J34" s="35"/>
      <c r="K34" s="36"/>
    </row>
    <row r="35" spans="2:24" ht="15.9" customHeight="1" x14ac:dyDescent="0.35">
      <c r="B35" s="37"/>
      <c r="C35" s="38" t="s">
        <v>1</v>
      </c>
      <c r="D35" s="39" t="s">
        <v>60</v>
      </c>
      <c r="E35" s="39" t="s">
        <v>3</v>
      </c>
      <c r="F35" s="40" t="s">
        <v>4</v>
      </c>
      <c r="G35" s="41"/>
      <c r="H35" s="38" t="s">
        <v>5</v>
      </c>
      <c r="I35" s="39" t="s">
        <v>60</v>
      </c>
      <c r="J35" s="39" t="s">
        <v>3</v>
      </c>
      <c r="K35" s="40" t="s">
        <v>4</v>
      </c>
    </row>
    <row r="36" spans="2:24" ht="15.75" customHeight="1" x14ac:dyDescent="0.35">
      <c r="B36" s="30"/>
      <c r="C36" s="42" t="s">
        <v>6</v>
      </c>
      <c r="D36" s="43"/>
      <c r="E36" s="43"/>
      <c r="F36" s="44">
        <f>Vivienda1224[[#This Row],[REAL]]-Vivienda1224[[#This Row],[PLANIFICADO]]</f>
        <v>0</v>
      </c>
      <c r="G36" s="45"/>
      <c r="H36" s="42" t="s">
        <v>7</v>
      </c>
      <c r="I36" s="46"/>
      <c r="J36" s="46"/>
      <c r="K36" s="47">
        <f>Prestamo1930[[#This Row],[REAL]]-Prestamo1930[[#This Row],[PLANIFICADO]]</f>
        <v>0</v>
      </c>
    </row>
    <row r="37" spans="2:24" ht="15.75" customHeight="1" x14ac:dyDescent="0.35">
      <c r="B37" s="30"/>
      <c r="C37" s="42" t="s">
        <v>8</v>
      </c>
      <c r="D37" s="43"/>
      <c r="E37" s="43"/>
      <c r="F37" s="44">
        <f>Vivienda1224[[#This Row],[REAL]]-Vivienda1224[[#This Row],[PLANIFICADO]]</f>
        <v>0</v>
      </c>
      <c r="G37" s="45"/>
      <c r="H37" s="42" t="s">
        <v>9</v>
      </c>
      <c r="I37" s="46"/>
      <c r="J37" s="46"/>
      <c r="K37" s="47">
        <f>Prestamo1930[[#This Row],[REAL]]-Prestamo1930[[#This Row],[PLANIFICADO]]</f>
        <v>0</v>
      </c>
    </row>
    <row r="38" spans="2:24" ht="15.75" customHeight="1" x14ac:dyDescent="0.35">
      <c r="B38" s="30"/>
      <c r="C38" s="42" t="s">
        <v>10</v>
      </c>
      <c r="D38" s="43"/>
      <c r="E38" s="43"/>
      <c r="F38" s="44">
        <f>Vivienda1224[[#This Row],[REAL]]-Vivienda1224[[#This Row],[PLANIFICADO]]</f>
        <v>0</v>
      </c>
      <c r="G38" s="45"/>
      <c r="H38" s="42" t="s">
        <v>66</v>
      </c>
      <c r="I38" s="46"/>
      <c r="J38" s="46"/>
      <c r="K38" s="47">
        <f>Prestamo1930[[#This Row],[REAL]]-Prestamo1930[[#This Row],[PLANIFICADO]]</f>
        <v>0</v>
      </c>
    </row>
    <row r="39" spans="2:24" ht="15.75" customHeight="1" x14ac:dyDescent="0.35">
      <c r="B39" s="30"/>
      <c r="C39" s="42" t="s">
        <v>12</v>
      </c>
      <c r="D39" s="43"/>
      <c r="E39" s="43"/>
      <c r="F39" s="44">
        <f>Vivienda1224[[#This Row],[REAL]]-Vivienda1224[[#This Row],[PLANIFICADO]]</f>
        <v>0</v>
      </c>
      <c r="G39" s="45"/>
      <c r="H39" s="42" t="s">
        <v>67</v>
      </c>
      <c r="I39" s="46"/>
      <c r="J39" s="46"/>
      <c r="K39" s="47">
        <f>Prestamo1930[[#This Row],[REAL]]-Prestamo1930[[#This Row],[PLANIFICADO]]</f>
        <v>0</v>
      </c>
    </row>
    <row r="40" spans="2:24" ht="15.75" customHeight="1" x14ac:dyDescent="0.35">
      <c r="B40" s="30"/>
      <c r="C40" s="42" t="s">
        <v>13</v>
      </c>
      <c r="D40" s="43"/>
      <c r="E40" s="43"/>
      <c r="F40" s="44">
        <f>Vivienda1224[[#This Row],[REAL]]-Vivienda1224[[#This Row],[PLANIFICADO]]</f>
        <v>0</v>
      </c>
      <c r="G40" s="45"/>
      <c r="H40" s="42" t="s">
        <v>68</v>
      </c>
      <c r="I40" s="46"/>
      <c r="J40" s="46"/>
      <c r="K40" s="47">
        <f>Prestamo1930[[#This Row],[REAL]]-Prestamo1930[[#This Row],[PLANIFICADO]]</f>
        <v>0</v>
      </c>
    </row>
    <row r="41" spans="2:24" ht="15.75" customHeight="1" x14ac:dyDescent="0.35">
      <c r="B41" s="30"/>
      <c r="C41" s="42" t="s">
        <v>14</v>
      </c>
      <c r="D41" s="43"/>
      <c r="E41" s="43"/>
      <c r="F41" s="44">
        <f>Vivienda1224[[#This Row],[REAL]]-Vivienda1224[[#This Row],[PLANIFICADO]]</f>
        <v>0</v>
      </c>
      <c r="G41" s="45"/>
      <c r="H41" s="42" t="s">
        <v>15</v>
      </c>
      <c r="I41" s="46"/>
      <c r="J41" s="46"/>
      <c r="K41" s="47">
        <f>Prestamo1930[[#This Row],[REAL]]-Prestamo1930[[#This Row],[PLANIFICADO]]</f>
        <v>0</v>
      </c>
    </row>
    <row r="42" spans="2:24" ht="15.75" customHeight="1" x14ac:dyDescent="0.35">
      <c r="B42" s="30"/>
      <c r="C42" s="42" t="s">
        <v>65</v>
      </c>
      <c r="D42" s="43"/>
      <c r="E42" s="43"/>
      <c r="F42" s="44">
        <f>Vivienda1224[[#This Row],[REAL]]-Vivienda1224[[#This Row],[PLANIFICADO]]</f>
        <v>0</v>
      </c>
      <c r="G42" s="45"/>
      <c r="H42" s="89" t="s">
        <v>16</v>
      </c>
      <c r="I42" s="90">
        <f>SUBTOTAL(109,Prestamo1930[PLANIFICADO])</f>
        <v>0</v>
      </c>
      <c r="J42" s="90">
        <f>SUBTOTAL(109,Prestamo1930[REAL])</f>
        <v>0</v>
      </c>
      <c r="K42" s="91">
        <f>SUBTOTAL(109,Prestamo1930[DIFERENCIA])</f>
        <v>0</v>
      </c>
      <c r="O42" s="48"/>
      <c r="P42" s="48"/>
      <c r="Q42" s="48"/>
      <c r="R42" s="49"/>
    </row>
    <row r="43" spans="2:24" ht="15.75" customHeight="1" x14ac:dyDescent="0.35">
      <c r="B43" s="30"/>
      <c r="C43" s="42" t="s">
        <v>17</v>
      </c>
      <c r="D43" s="43"/>
      <c r="E43" s="43"/>
      <c r="F43" s="44">
        <f>Vivienda1224[[#This Row],[REAL]]-Vivienda1224[[#This Row],[PLANIFICADO]]</f>
        <v>0</v>
      </c>
      <c r="G43" s="45"/>
      <c r="O43" s="48"/>
      <c r="P43" s="48"/>
      <c r="Q43" s="48"/>
      <c r="R43" s="50"/>
    </row>
    <row r="44" spans="2:24" ht="15.75" customHeight="1" x14ac:dyDescent="0.35">
      <c r="B44" s="30"/>
      <c r="C44" s="88" t="s">
        <v>15</v>
      </c>
      <c r="D44" s="43"/>
      <c r="E44" s="43"/>
      <c r="F44" s="44">
        <f>Vivienda1224[[#This Row],[REAL]]-Vivienda1224[[#This Row],[PLANIFICADO]]</f>
        <v>0</v>
      </c>
      <c r="G44" s="45"/>
      <c r="H44" s="38" t="s">
        <v>18</v>
      </c>
      <c r="I44" s="39" t="s">
        <v>60</v>
      </c>
      <c r="J44" s="39" t="s">
        <v>3</v>
      </c>
      <c r="K44" s="40" t="s">
        <v>4</v>
      </c>
      <c r="O44" s="48"/>
      <c r="P44" s="48"/>
      <c r="Q44" s="48"/>
      <c r="R44" s="49"/>
    </row>
    <row r="45" spans="2:24" ht="15.75" customHeight="1" x14ac:dyDescent="0.35">
      <c r="B45" s="30"/>
      <c r="C45" s="42" t="s">
        <v>15</v>
      </c>
      <c r="D45" s="43"/>
      <c r="E45" s="43"/>
      <c r="F45" s="44">
        <f>Vivienda1224[[#This Row],[REAL]]-Vivienda1224[[#This Row],[PLANIFICADO]]</f>
        <v>0</v>
      </c>
      <c r="G45" s="45"/>
      <c r="H45" s="42" t="s">
        <v>15</v>
      </c>
      <c r="I45" s="46"/>
      <c r="J45" s="46"/>
      <c r="K45" s="47">
        <f>Impuestos1728[[#This Row],[REAL]]-Impuestos1728[[#This Row],[PLANIFICADO]]</f>
        <v>0</v>
      </c>
      <c r="O45" s="48"/>
      <c r="P45" s="48"/>
      <c r="Q45" s="48"/>
      <c r="R45" s="50"/>
    </row>
    <row r="46" spans="2:24" ht="15.75" customHeight="1" x14ac:dyDescent="0.35">
      <c r="B46" s="30"/>
      <c r="C46" s="89" t="s">
        <v>16</v>
      </c>
      <c r="D46" s="90">
        <f>SUBTOTAL(109,Vivienda1224[PLANIFICADO])</f>
        <v>0</v>
      </c>
      <c r="E46" s="90">
        <f>SUBTOTAL(109,Vivienda1224[REAL])</f>
        <v>0</v>
      </c>
      <c r="F46" s="91">
        <f>SUBTOTAL(109,Vivienda1224[DIFERENCIA])</f>
        <v>0</v>
      </c>
      <c r="G46" s="45"/>
      <c r="H46" s="42" t="s">
        <v>15</v>
      </c>
      <c r="I46" s="46"/>
      <c r="J46" s="46"/>
      <c r="K46" s="47">
        <f>Impuestos1728[[#This Row],[REAL]]-Impuestos1728[[#This Row],[PLANIFICADO]]</f>
        <v>0</v>
      </c>
      <c r="O46" s="48"/>
      <c r="P46" s="48"/>
      <c r="Q46" s="48"/>
      <c r="R46" s="49"/>
      <c r="S46" s="51"/>
      <c r="T46" s="34"/>
      <c r="U46" s="52"/>
      <c r="V46" s="52"/>
      <c r="W46" s="52"/>
      <c r="X46" s="53"/>
    </row>
    <row r="47" spans="2:24" ht="15.75" customHeight="1" x14ac:dyDescent="0.35">
      <c r="B47" s="30"/>
      <c r="C47" s="54"/>
      <c r="D47" s="54"/>
      <c r="E47" s="54"/>
      <c r="F47" s="54"/>
      <c r="G47" s="45"/>
      <c r="H47" s="42" t="s">
        <v>15</v>
      </c>
      <c r="I47" s="46"/>
      <c r="J47" s="46"/>
      <c r="K47" s="47">
        <f>Impuestos1728[[#This Row],[REAL]]-Impuestos1728[[#This Row],[PLANIFICADO]]</f>
        <v>0</v>
      </c>
      <c r="O47" s="48"/>
      <c r="P47" s="48"/>
      <c r="Q47" s="48"/>
      <c r="R47" s="50"/>
      <c r="S47" s="51"/>
      <c r="T47" s="34"/>
      <c r="U47" s="52"/>
      <c r="V47" s="52"/>
      <c r="W47" s="52"/>
      <c r="X47" s="53"/>
    </row>
    <row r="48" spans="2:24" ht="15.75" customHeight="1" x14ac:dyDescent="0.35">
      <c r="B48" s="30"/>
      <c r="C48" s="55" t="s">
        <v>19</v>
      </c>
      <c r="D48" s="39" t="s">
        <v>60</v>
      </c>
      <c r="E48" s="39" t="s">
        <v>3</v>
      </c>
      <c r="F48" s="40" t="s">
        <v>4</v>
      </c>
      <c r="G48" s="45"/>
      <c r="H48" s="42" t="s">
        <v>15</v>
      </c>
      <c r="I48" s="46"/>
      <c r="J48" s="46"/>
      <c r="K48" s="47">
        <f>Impuestos1728[[#This Row],[REAL]]-Impuestos1728[[#This Row],[PLANIFICADO]]</f>
        <v>0</v>
      </c>
      <c r="P48" s="56"/>
      <c r="Q48" s="34"/>
      <c r="R48" s="34"/>
      <c r="S48" s="57"/>
      <c r="T48" s="34"/>
      <c r="U48" s="52"/>
      <c r="V48" s="52"/>
      <c r="W48" s="52"/>
      <c r="X48" s="53"/>
    </row>
    <row r="49" spans="2:24" ht="15.75" customHeight="1" x14ac:dyDescent="0.35">
      <c r="B49" s="30"/>
      <c r="C49" s="42" t="s">
        <v>20</v>
      </c>
      <c r="D49" s="46"/>
      <c r="E49" s="46"/>
      <c r="F49" s="47">
        <f>Transporte1829[[#This Row],[REAL]]-Transporte1829[[#This Row],[PLANIFICADO]]</f>
        <v>0</v>
      </c>
      <c r="G49" s="45"/>
      <c r="H49" s="89" t="s">
        <v>16</v>
      </c>
      <c r="I49" s="90">
        <f>SUBTOTAL(109,Impuestos1728[PLANIFICADO])</f>
        <v>0</v>
      </c>
      <c r="J49" s="90">
        <f>SUBTOTAL(109,Impuestos1728[REAL])</f>
        <v>0</v>
      </c>
      <c r="K49" s="91">
        <f>SUBTOTAL(109,Impuestos1728[DIFERENCIA])</f>
        <v>0</v>
      </c>
      <c r="P49" s="58"/>
      <c r="Q49" s="59"/>
      <c r="R49" s="60"/>
      <c r="S49" s="61"/>
      <c r="T49" s="34"/>
      <c r="U49" s="52"/>
      <c r="V49" s="52"/>
      <c r="W49" s="52"/>
      <c r="X49" s="53"/>
    </row>
    <row r="50" spans="2:24" ht="15.75" customHeight="1" x14ac:dyDescent="0.35">
      <c r="B50" s="30"/>
      <c r="C50" s="88" t="s">
        <v>69</v>
      </c>
      <c r="D50" s="46"/>
      <c r="E50" s="46"/>
      <c r="F50" s="47">
        <f>Transporte1829[[#This Row],[REAL]]-Transporte1829[[#This Row],[PLANIFICADO]]</f>
        <v>0</v>
      </c>
      <c r="G50" s="45"/>
      <c r="P50" s="58"/>
      <c r="Q50" s="62"/>
      <c r="R50" s="63"/>
      <c r="S50" s="61"/>
      <c r="T50" s="34"/>
      <c r="U50" s="52"/>
      <c r="V50" s="52"/>
      <c r="W50" s="52"/>
      <c r="X50" s="53"/>
    </row>
    <row r="51" spans="2:24" ht="15.75" customHeight="1" x14ac:dyDescent="0.35">
      <c r="B51" s="30"/>
      <c r="C51" s="42" t="s">
        <v>70</v>
      </c>
      <c r="D51" s="46"/>
      <c r="E51" s="46"/>
      <c r="F51" s="47">
        <f>Transporte1829[[#This Row],[REAL]]-Transporte1829[[#This Row],[PLANIFICADO]]</f>
        <v>0</v>
      </c>
      <c r="G51" s="45"/>
      <c r="H51" s="55" t="s">
        <v>21</v>
      </c>
      <c r="I51" s="39" t="s">
        <v>60</v>
      </c>
      <c r="J51" s="39" t="s">
        <v>3</v>
      </c>
      <c r="K51" s="40" t="s">
        <v>4</v>
      </c>
      <c r="P51" s="64"/>
      <c r="Q51" s="62"/>
      <c r="R51" s="63"/>
      <c r="S51" s="65"/>
      <c r="T51" s="34"/>
      <c r="U51" s="52"/>
      <c r="V51" s="52"/>
      <c r="W51" s="52"/>
      <c r="X51" s="53"/>
    </row>
    <row r="52" spans="2:24" ht="15.75" customHeight="1" x14ac:dyDescent="0.35">
      <c r="B52" s="30"/>
      <c r="C52" s="42" t="s">
        <v>22</v>
      </c>
      <c r="D52" s="46"/>
      <c r="E52" s="46"/>
      <c r="F52" s="47">
        <f>Transporte1829[[#This Row],[REAL]]-Transporte1829[[#This Row],[PLANIFICADO]]</f>
        <v>0</v>
      </c>
      <c r="G52" s="45"/>
      <c r="H52" s="42" t="s">
        <v>76</v>
      </c>
      <c r="I52" s="46"/>
      <c r="J52" s="46"/>
      <c r="K52" s="47">
        <f>Inversiones2031[[#This Row],[REAL]]-Inversiones2031[[#This Row],[PLANIFICADO]]</f>
        <v>0</v>
      </c>
    </row>
    <row r="53" spans="2:24" ht="15.75" customHeight="1" x14ac:dyDescent="0.35">
      <c r="B53" s="30"/>
      <c r="C53" s="88" t="s">
        <v>23</v>
      </c>
      <c r="D53" s="46"/>
      <c r="E53" s="46"/>
      <c r="F53" s="47">
        <f>Transporte1829[[#This Row],[REAL]]-Transporte1829[[#This Row],[PLANIFICADO]]</f>
        <v>0</v>
      </c>
      <c r="G53" s="45"/>
      <c r="H53" s="42" t="s">
        <v>15</v>
      </c>
      <c r="I53" s="46"/>
      <c r="J53" s="46"/>
      <c r="K53" s="47">
        <f>Inversiones2031[[#This Row],[REAL]]-Inversiones2031[[#This Row],[PLANIFICADO]]</f>
        <v>0</v>
      </c>
    </row>
    <row r="54" spans="2:24" ht="15.75" customHeight="1" x14ac:dyDescent="0.35">
      <c r="B54" s="30"/>
      <c r="C54" s="88" t="s">
        <v>73</v>
      </c>
      <c r="D54" s="46"/>
      <c r="E54" s="46"/>
      <c r="F54" s="47">
        <f>Transporte1829[[#This Row],[REAL]]-Transporte1829[[#This Row],[PLANIFICADO]]</f>
        <v>0</v>
      </c>
      <c r="G54" s="45"/>
      <c r="H54" s="42" t="s">
        <v>15</v>
      </c>
      <c r="I54" s="46"/>
      <c r="J54" s="46"/>
      <c r="K54" s="47">
        <f>Inversiones2031[[#This Row],[REAL]]-Inversiones2031[[#This Row],[PLANIFICADO]]</f>
        <v>0</v>
      </c>
    </row>
    <row r="55" spans="2:24" ht="15.75" customHeight="1" x14ac:dyDescent="0.35">
      <c r="B55" s="30"/>
      <c r="C55" s="42" t="s">
        <v>15</v>
      </c>
      <c r="D55" s="46"/>
      <c r="E55" s="46"/>
      <c r="F55" s="47">
        <f>Transporte1829[[#This Row],[REAL]]-Transporte1829[[#This Row],[PLANIFICADO]]</f>
        <v>0</v>
      </c>
      <c r="G55" s="45"/>
      <c r="H55" s="89" t="s">
        <v>16</v>
      </c>
      <c r="I55" s="90">
        <f>SUBTOTAL(109,Inversiones2031[PLANIFICADO])</f>
        <v>0</v>
      </c>
      <c r="J55" s="90">
        <f>SUBTOTAL(109,Inversiones2031[REAL])</f>
        <v>0</v>
      </c>
      <c r="K55" s="91">
        <f>SUBTOTAL(109,Inversiones2031[DIFERENCIA])</f>
        <v>0</v>
      </c>
    </row>
    <row r="56" spans="2:24" ht="15.75" customHeight="1" x14ac:dyDescent="0.35">
      <c r="B56" s="30"/>
      <c r="C56" s="89" t="s">
        <v>16</v>
      </c>
      <c r="D56" s="90">
        <f>SUBTOTAL(109,Transporte1829[PLANIFICADO])</f>
        <v>0</v>
      </c>
      <c r="E56" s="90">
        <f>SUBTOTAL(109,Transporte1829[REAL])</f>
        <v>0</v>
      </c>
      <c r="F56" s="91">
        <f>SUBTOTAL(109,Transporte1829[DIFERENCIA])</f>
        <v>0</v>
      </c>
      <c r="G56" s="45"/>
      <c r="I56" s="66"/>
      <c r="J56" s="66"/>
      <c r="K56" s="66"/>
    </row>
    <row r="57" spans="2:24" ht="15.75" customHeight="1" x14ac:dyDescent="0.35">
      <c r="B57" s="30"/>
      <c r="C57" s="54"/>
      <c r="D57" s="54"/>
      <c r="E57" s="54"/>
      <c r="F57" s="54"/>
      <c r="G57" s="45"/>
    </row>
    <row r="58" spans="2:24" ht="15.75" customHeight="1" x14ac:dyDescent="0.35">
      <c r="B58" s="30"/>
      <c r="C58" s="55" t="s">
        <v>24</v>
      </c>
      <c r="D58" s="39" t="s">
        <v>60</v>
      </c>
      <c r="E58" s="39" t="s">
        <v>3</v>
      </c>
      <c r="F58" s="40" t="s">
        <v>4</v>
      </c>
      <c r="G58" s="45"/>
      <c r="H58" s="55" t="s">
        <v>25</v>
      </c>
      <c r="I58" s="39" t="s">
        <v>60</v>
      </c>
      <c r="J58" s="39" t="s">
        <v>3</v>
      </c>
      <c r="K58" s="40" t="s">
        <v>4</v>
      </c>
    </row>
    <row r="59" spans="2:24" ht="15.75" customHeight="1" x14ac:dyDescent="0.35">
      <c r="B59" s="30"/>
      <c r="C59" s="42" t="s">
        <v>26</v>
      </c>
      <c r="D59" s="46"/>
      <c r="E59" s="46"/>
      <c r="F59" s="47">
        <f>Alimentación1627[[#This Row],[REAL]]-Alimentación1627[[#This Row],[PLANIFICADO]]</f>
        <v>0</v>
      </c>
      <c r="G59" s="45"/>
      <c r="H59" s="42" t="s">
        <v>27</v>
      </c>
      <c r="I59" s="46"/>
      <c r="J59" s="46"/>
      <c r="K59" s="47">
        <f>Seguros1425[[#This Row],[REAL]]-Seguros1425[[#This Row],[PLANIFICADO]]</f>
        <v>0</v>
      </c>
    </row>
    <row r="60" spans="2:24" ht="15.75" customHeight="1" x14ac:dyDescent="0.35">
      <c r="B60" s="30"/>
      <c r="C60" s="42" t="s">
        <v>28</v>
      </c>
      <c r="D60" s="46"/>
      <c r="E60" s="46"/>
      <c r="F60" s="47">
        <f>Alimentación1627[[#This Row],[REAL]]-Alimentación1627[[#This Row],[PLANIFICADO]]</f>
        <v>0</v>
      </c>
      <c r="G60" s="45"/>
      <c r="H60" s="42" t="s">
        <v>29</v>
      </c>
      <c r="I60" s="46"/>
      <c r="J60" s="46"/>
      <c r="K60" s="47">
        <f>Seguros1425[[#This Row],[REAL]]-Seguros1425[[#This Row],[PLANIFICADO]]</f>
        <v>0</v>
      </c>
    </row>
    <row r="61" spans="2:24" ht="15.75" customHeight="1" x14ac:dyDescent="0.35">
      <c r="B61" s="30"/>
      <c r="C61" s="42" t="s">
        <v>71</v>
      </c>
      <c r="D61" s="46"/>
      <c r="E61" s="46"/>
      <c r="F61" s="47">
        <f>Alimentación1627[[#This Row],[REAL]]-Alimentación1627[[#This Row],[PLANIFICADO]]</f>
        <v>0</v>
      </c>
      <c r="G61" s="45"/>
      <c r="H61" s="42" t="s">
        <v>31</v>
      </c>
      <c r="I61" s="46"/>
      <c r="J61" s="46"/>
      <c r="K61" s="47">
        <f>Seguros1425[[#This Row],[REAL]]-Seguros1425[[#This Row],[PLANIFICADO]]</f>
        <v>0</v>
      </c>
    </row>
    <row r="62" spans="2:24" ht="15.75" customHeight="1" x14ac:dyDescent="0.35">
      <c r="B62" s="30"/>
      <c r="C62" s="89" t="s">
        <v>16</v>
      </c>
      <c r="D62" s="90">
        <f>SUBTOTAL(109,Alimentación1627[PLANIFICADO])</f>
        <v>0</v>
      </c>
      <c r="E62" s="90">
        <f>SUBTOTAL(109,Alimentación1627[REAL])</f>
        <v>0</v>
      </c>
      <c r="F62" s="91">
        <f>SUBTOTAL(109,Alimentación1627[DIFERENCIA])</f>
        <v>0</v>
      </c>
      <c r="G62" s="45"/>
      <c r="H62" s="42" t="s">
        <v>15</v>
      </c>
      <c r="I62" s="46"/>
      <c r="J62" s="46"/>
      <c r="K62" s="47">
        <f>Seguros1425[[#This Row],[REAL]]-Seguros1425[[#This Row],[PLANIFICADO]]</f>
        <v>0</v>
      </c>
    </row>
    <row r="63" spans="2:24" ht="15.75" customHeight="1" x14ac:dyDescent="0.35">
      <c r="B63" s="30"/>
      <c r="G63" s="45"/>
      <c r="H63" s="89" t="s">
        <v>16</v>
      </c>
      <c r="I63" s="90">
        <f>SUBTOTAL(109,Seguros1425[PLANIFICADO])</f>
        <v>0</v>
      </c>
      <c r="J63" s="90">
        <f>SUBTOTAL(109,Seguros1425[REAL])</f>
        <v>0</v>
      </c>
      <c r="K63" s="91">
        <f>SUBTOTAL(109,Seguros1425[DIFERENCIA])</f>
        <v>0</v>
      </c>
    </row>
    <row r="64" spans="2:24" ht="15.75" customHeight="1" x14ac:dyDescent="0.35">
      <c r="B64" s="30"/>
      <c r="G64" s="45"/>
    </row>
    <row r="65" spans="2:11" ht="15.75" customHeight="1" x14ac:dyDescent="0.35">
      <c r="B65" s="30"/>
      <c r="C65" s="55" t="s">
        <v>53</v>
      </c>
      <c r="D65" s="39" t="s">
        <v>60</v>
      </c>
      <c r="E65" s="39" t="s">
        <v>3</v>
      </c>
      <c r="F65" s="40" t="s">
        <v>4</v>
      </c>
      <c r="G65" s="45"/>
      <c r="H65" s="55" t="s">
        <v>32</v>
      </c>
      <c r="I65" s="39" t="s">
        <v>60</v>
      </c>
      <c r="J65" s="39" t="s">
        <v>3</v>
      </c>
      <c r="K65" s="40" t="s">
        <v>4</v>
      </c>
    </row>
    <row r="66" spans="2:11" ht="15.75" customHeight="1" x14ac:dyDescent="0.35">
      <c r="B66" s="30"/>
      <c r="C66" s="42" t="s">
        <v>33</v>
      </c>
      <c r="D66" s="46"/>
      <c r="E66" s="46"/>
      <c r="F66" s="47">
        <f>Mascotas1526[[#This Row],[REAL]]-Mascotas1526[[#This Row],[PLANIFICADO]]</f>
        <v>0</v>
      </c>
      <c r="G66" s="45"/>
      <c r="H66" s="42" t="s">
        <v>34</v>
      </c>
      <c r="I66" s="43">
        <v>0</v>
      </c>
      <c r="J66" s="43"/>
      <c r="K66" s="44">
        <f>Ocio2233[[#This Row],[REAL]]-Ocio2233[[#This Row],[PLANIFICADO]]</f>
        <v>0</v>
      </c>
    </row>
    <row r="67" spans="2:11" ht="15.75" customHeight="1" x14ac:dyDescent="0.35">
      <c r="B67" s="30"/>
      <c r="C67" s="42" t="s">
        <v>35</v>
      </c>
      <c r="D67" s="46"/>
      <c r="E67" s="46"/>
      <c r="F67" s="47">
        <f>Mascotas1526[[#This Row],[REAL]]-Mascotas1526[[#This Row],[PLANIFICADO]]</f>
        <v>0</v>
      </c>
      <c r="G67" s="45"/>
      <c r="H67" s="42" t="s">
        <v>36</v>
      </c>
      <c r="I67" s="43"/>
      <c r="J67" s="43"/>
      <c r="K67" s="44">
        <f>Ocio2233[[#This Row],[REAL]]-Ocio2233[[#This Row],[PLANIFICADO]]</f>
        <v>0</v>
      </c>
    </row>
    <row r="68" spans="2:11" ht="15.75" customHeight="1" x14ac:dyDescent="0.35">
      <c r="B68" s="30"/>
      <c r="C68" s="42" t="s">
        <v>72</v>
      </c>
      <c r="D68" s="46"/>
      <c r="E68" s="46"/>
      <c r="F68" s="47">
        <f>Mascotas1526[[#This Row],[REAL]]-Mascotas1526[[#This Row],[PLANIFICADO]]</f>
        <v>0</v>
      </c>
      <c r="G68" s="45"/>
      <c r="H68" s="42" t="s">
        <v>38</v>
      </c>
      <c r="I68" s="43"/>
      <c r="J68" s="43"/>
      <c r="K68" s="44">
        <f>Ocio2233[[#This Row],[REAL]]-Ocio2233[[#This Row],[PLANIFICADO]]</f>
        <v>0</v>
      </c>
    </row>
    <row r="69" spans="2:11" ht="15.75" customHeight="1" x14ac:dyDescent="0.35">
      <c r="B69" s="30"/>
      <c r="C69" s="42" t="s">
        <v>39</v>
      </c>
      <c r="D69" s="46"/>
      <c r="E69" s="46"/>
      <c r="F69" s="47">
        <f>Mascotas1526[[#This Row],[REAL]]-Mascotas1526[[#This Row],[PLANIFICADO]]</f>
        <v>0</v>
      </c>
      <c r="G69" s="45"/>
      <c r="H69" s="42" t="s">
        <v>40</v>
      </c>
      <c r="I69" s="43"/>
      <c r="J69" s="43"/>
      <c r="K69" s="44">
        <f>Ocio2233[[#This Row],[REAL]]-Ocio2233[[#This Row],[PLANIFICADO]]</f>
        <v>0</v>
      </c>
    </row>
    <row r="70" spans="2:11" ht="15.75" customHeight="1" x14ac:dyDescent="0.35">
      <c r="B70" s="30"/>
      <c r="C70" s="42" t="s">
        <v>15</v>
      </c>
      <c r="D70" s="46"/>
      <c r="E70" s="46"/>
      <c r="F70" s="47">
        <f>Mascotas1526[[#This Row],[REAL]]-Mascotas1526[[#This Row],[PLANIFICADO]]</f>
        <v>0</v>
      </c>
      <c r="G70" s="45"/>
      <c r="H70" s="42" t="s">
        <v>77</v>
      </c>
      <c r="I70" s="43"/>
      <c r="J70" s="43"/>
      <c r="K70" s="44">
        <f>Ocio2233[[#This Row],[REAL]]-Ocio2233[[#This Row],[PLANIFICADO]]</f>
        <v>0</v>
      </c>
    </row>
    <row r="71" spans="2:11" ht="15.75" customHeight="1" x14ac:dyDescent="0.35">
      <c r="B71" s="30"/>
      <c r="C71" s="89" t="s">
        <v>16</v>
      </c>
      <c r="D71" s="90">
        <f>SUBTOTAL(109,Mascotas1526[PLANIFICADO])</f>
        <v>0</v>
      </c>
      <c r="E71" s="90">
        <f>SUBTOTAL(109,Mascotas1526[REAL])</f>
        <v>0</v>
      </c>
      <c r="F71" s="91">
        <f>SUBTOTAL(109,Mascotas1526[DIFERENCIA])</f>
        <v>0</v>
      </c>
      <c r="G71" s="45"/>
      <c r="H71" s="42" t="s">
        <v>41</v>
      </c>
      <c r="I71" s="43"/>
      <c r="J71" s="43"/>
      <c r="K71" s="44">
        <f>Ocio2233[[#This Row],[REAL]]-Ocio2233[[#This Row],[PLANIFICADO]]</f>
        <v>0</v>
      </c>
    </row>
    <row r="72" spans="2:11" ht="15.75" customHeight="1" x14ac:dyDescent="0.35">
      <c r="B72" s="30"/>
      <c r="G72" s="45"/>
      <c r="H72" s="42" t="s">
        <v>15</v>
      </c>
      <c r="I72" s="43"/>
      <c r="J72" s="43"/>
      <c r="K72" s="44">
        <f>Ocio2233[[#This Row],[REAL]]-Ocio2233[[#This Row],[PLANIFICADO]]</f>
        <v>0</v>
      </c>
    </row>
    <row r="73" spans="2:11" ht="15.75" customHeight="1" x14ac:dyDescent="0.35">
      <c r="B73" s="30"/>
      <c r="G73" s="45"/>
      <c r="H73" s="42" t="s">
        <v>15</v>
      </c>
      <c r="I73" s="43"/>
      <c r="J73" s="43"/>
      <c r="K73" s="44">
        <f>Ocio2233[[#This Row],[REAL]]-Ocio2233[[#This Row],[PLANIFICADO]]</f>
        <v>0</v>
      </c>
    </row>
    <row r="74" spans="2:11" ht="15.75" customHeight="1" x14ac:dyDescent="0.35">
      <c r="B74" s="30"/>
      <c r="C74" s="55" t="s">
        <v>42</v>
      </c>
      <c r="D74" s="39" t="s">
        <v>60</v>
      </c>
      <c r="E74" s="39" t="s">
        <v>3</v>
      </c>
      <c r="F74" s="40" t="s">
        <v>4</v>
      </c>
      <c r="G74" s="45"/>
      <c r="H74" s="42" t="s">
        <v>15</v>
      </c>
      <c r="I74" s="43"/>
      <c r="J74" s="43"/>
      <c r="K74" s="44">
        <f>Ocio2233[[#This Row],[REAL]]-Ocio2233[[#This Row],[PLANIFICADO]]</f>
        <v>0</v>
      </c>
    </row>
    <row r="75" spans="2:11" ht="15.75" customHeight="1" x14ac:dyDescent="0.35">
      <c r="B75" s="30"/>
      <c r="C75" s="42" t="s">
        <v>43</v>
      </c>
      <c r="D75" s="46"/>
      <c r="E75" s="46"/>
      <c r="F75" s="47">
        <f>CuidadoPersonal2132[[#This Row],[REAL]]-CuidadoPersonal2132[[#This Row],[PLANIFICADO]]</f>
        <v>0</v>
      </c>
      <c r="G75" s="45"/>
      <c r="H75" s="89" t="s">
        <v>16</v>
      </c>
      <c r="I75" s="92">
        <f>SUBTOTAL(109,Ocio2233[PLANIFICADO])</f>
        <v>0</v>
      </c>
      <c r="J75" s="90">
        <f>SUBTOTAL(109,Ocio2233[REAL])</f>
        <v>0</v>
      </c>
      <c r="K75" s="91">
        <f>SUBTOTAL(109,Ocio2233[DIFERENCIA])</f>
        <v>0</v>
      </c>
    </row>
    <row r="76" spans="2:11" ht="15.75" customHeight="1" x14ac:dyDescent="0.35">
      <c r="B76" s="30"/>
      <c r="C76" s="42" t="s">
        <v>44</v>
      </c>
      <c r="D76" s="46"/>
      <c r="E76" s="46"/>
      <c r="F76" s="47">
        <f>CuidadoPersonal2132[[#This Row],[REAL]]-CuidadoPersonal2132[[#This Row],[PLANIFICADO]]</f>
        <v>0</v>
      </c>
      <c r="G76" s="45"/>
      <c r="H76" s="67"/>
      <c r="I76" s="68"/>
      <c r="J76" s="68"/>
      <c r="K76" s="69"/>
    </row>
    <row r="77" spans="2:11" ht="15.75" customHeight="1" x14ac:dyDescent="0.35">
      <c r="B77" s="30"/>
      <c r="C77" s="42" t="s">
        <v>45</v>
      </c>
      <c r="D77" s="46"/>
      <c r="E77" s="46"/>
      <c r="F77" s="47">
        <f>CuidadoPersonal2132[[#This Row],[REAL]]-CuidadoPersonal2132[[#This Row],[PLANIFICADO]]</f>
        <v>0</v>
      </c>
      <c r="G77" s="45"/>
      <c r="H77" s="67"/>
      <c r="I77" s="68"/>
      <c r="J77" s="68"/>
      <c r="K77" s="69"/>
    </row>
    <row r="78" spans="2:11" ht="15.75" customHeight="1" x14ac:dyDescent="0.35">
      <c r="B78" s="30"/>
      <c r="C78" s="42" t="s">
        <v>46</v>
      </c>
      <c r="D78" s="46"/>
      <c r="E78" s="46"/>
      <c r="F78" s="47">
        <f>CuidadoPersonal2132[[#This Row],[REAL]]-CuidadoPersonal2132[[#This Row],[PLANIFICADO]]</f>
        <v>0</v>
      </c>
      <c r="G78" s="45"/>
      <c r="H78" s="67"/>
      <c r="I78" s="68"/>
      <c r="J78" s="68"/>
      <c r="K78" s="69"/>
    </row>
    <row r="79" spans="2:11" ht="15.75" customHeight="1" x14ac:dyDescent="0.35">
      <c r="B79" s="30"/>
      <c r="C79" s="42" t="s">
        <v>47</v>
      </c>
      <c r="D79" s="46"/>
      <c r="E79" s="46"/>
      <c r="F79" s="47">
        <f>CuidadoPersonal2132[[#This Row],[REAL]]-CuidadoPersonal2132[[#This Row],[PLANIFICADO]]</f>
        <v>0</v>
      </c>
      <c r="G79" s="45"/>
      <c r="H79" s="67"/>
      <c r="I79" s="68"/>
      <c r="J79" s="68"/>
      <c r="K79" s="69"/>
    </row>
    <row r="80" spans="2:11" ht="15.75" customHeight="1" x14ac:dyDescent="0.35">
      <c r="B80" s="30"/>
      <c r="C80" s="42" t="s">
        <v>48</v>
      </c>
      <c r="D80" s="46"/>
      <c r="E80" s="46"/>
      <c r="F80" s="47">
        <f>CuidadoPersonal2132[[#This Row],[REAL]]-CuidadoPersonal2132[[#This Row],[PLANIFICADO]]</f>
        <v>0</v>
      </c>
      <c r="G80" s="45"/>
      <c r="H80" s="68"/>
      <c r="I80" s="68"/>
      <c r="J80" s="68"/>
      <c r="K80" s="68"/>
    </row>
    <row r="81" spans="2:11" ht="15.75" customHeight="1" x14ac:dyDescent="0.35">
      <c r="B81" s="30"/>
      <c r="C81" s="42" t="s">
        <v>15</v>
      </c>
      <c r="D81" s="46"/>
      <c r="E81" s="46"/>
      <c r="F81" s="47">
        <f>CuidadoPersonal2132[[#This Row],[REAL]]-CuidadoPersonal2132[[#This Row],[PLANIFICADO]]</f>
        <v>0</v>
      </c>
      <c r="G81" s="30"/>
      <c r="H81" s="70"/>
      <c r="I81" s="70"/>
      <c r="J81" s="70"/>
      <c r="K81" s="70"/>
    </row>
    <row r="82" spans="2:11" ht="15.75" customHeight="1" x14ac:dyDescent="0.35">
      <c r="B82" s="30"/>
      <c r="C82" s="89" t="s">
        <v>16</v>
      </c>
      <c r="D82" s="90">
        <f>SUBTOTAL(109,CuidadoPersonal2132[PLANIFICADO])</f>
        <v>0</v>
      </c>
      <c r="E82" s="90">
        <f>SUBTOTAL(109,CuidadoPersonal2132[REAL])</f>
        <v>0</v>
      </c>
      <c r="F82" s="91">
        <f>SUBTOTAL(109,CuidadoPersonal2132[DIFERENCIA])</f>
        <v>0</v>
      </c>
      <c r="G82" s="30"/>
    </row>
    <row r="83" spans="2:11" ht="15.75" customHeight="1" x14ac:dyDescent="0.35">
      <c r="B83" s="30"/>
      <c r="G83" s="30"/>
    </row>
    <row r="84" spans="2:11" ht="15.75" customHeight="1" x14ac:dyDescent="0.35">
      <c r="B84" s="30"/>
      <c r="G84" s="30"/>
    </row>
    <row r="85" spans="2:11" ht="15.75" customHeight="1" x14ac:dyDescent="0.35">
      <c r="B85" s="30"/>
      <c r="G85" s="30"/>
    </row>
    <row r="86" spans="2:11" ht="15.75" customHeight="1" x14ac:dyDescent="0.35"/>
  </sheetData>
  <mergeCells count="21">
    <mergeCell ref="U50:W51"/>
    <mergeCell ref="X50:X51"/>
    <mergeCell ref="Q51:R51"/>
    <mergeCell ref="C57:F57"/>
    <mergeCell ref="H81:K81"/>
    <mergeCell ref="O46:Q47"/>
    <mergeCell ref="R46:R47"/>
    <mergeCell ref="U46:W47"/>
    <mergeCell ref="X46:X47"/>
    <mergeCell ref="C47:F47"/>
    <mergeCell ref="U48:W49"/>
    <mergeCell ref="X48:X49"/>
    <mergeCell ref="P49:P51"/>
    <mergeCell ref="Q49:R49"/>
    <mergeCell ref="Q50:R50"/>
    <mergeCell ref="C3:E3"/>
    <mergeCell ref="G3:J3"/>
    <mergeCell ref="O42:Q43"/>
    <mergeCell ref="R42:R43"/>
    <mergeCell ref="O44:Q45"/>
    <mergeCell ref="R44:R45"/>
  </mergeCells>
  <pageMargins left="0.5" right="0.5" top="0.5" bottom="0.5" header="0.5" footer="0.5"/>
  <pageSetup orientation="landscape" horizontalDpi="4294967292" r:id="rId1"/>
  <headerFooter alignWithMargins="0"/>
  <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356FC9F-20C2-45BD-8EFF-0E4113C8E69A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F17:F24</xm:sqref>
        </x14:conditionalFormatting>
        <x14:conditionalFormatting xmlns:xm="http://schemas.microsoft.com/office/excel/2006/main">
          <x14:cfRule type="iconSet" priority="1" id="{FD6CC8AD-D077-47E4-AD87-947A978A53A9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F75:F82 F66:F71 F59:F62 K59:K63 K52:K55 K45:K49 K36:K42 F36:F46 F49:F56 K66:K80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3AB5-E396-4BD2-8B1F-AF0DAC5D610A}">
  <sheetPr>
    <pageSetUpPr autoPageBreaks="0" fitToPage="1"/>
  </sheetPr>
  <dimension ref="A1:X86"/>
  <sheetViews>
    <sheetView showGridLines="0" topLeftCell="A53" zoomScaleNormal="100" workbookViewId="0">
      <selection activeCell="G60" sqref="G60"/>
    </sheetView>
  </sheetViews>
  <sheetFormatPr baseColWidth="10" defaultColWidth="9.08984375" defaultRowHeight="15.5" x14ac:dyDescent="0.35"/>
  <cols>
    <col min="1" max="1" width="3.453125" style="8" customWidth="1"/>
    <col min="2" max="2" width="13.7265625" style="8" customWidth="1"/>
    <col min="3" max="3" width="34.36328125" style="8" customWidth="1"/>
    <col min="4" max="4" width="17.6328125" style="8" bestFit="1" customWidth="1"/>
    <col min="5" max="5" width="15" style="8" customWidth="1"/>
    <col min="6" max="6" width="14.36328125" style="8" customWidth="1"/>
    <col min="7" max="7" width="2.90625" style="8" customWidth="1"/>
    <col min="8" max="8" width="20.08984375" style="8" customWidth="1"/>
    <col min="9" max="9" width="20.6328125" style="8" customWidth="1"/>
    <col min="10" max="10" width="21.54296875" style="8" customWidth="1"/>
    <col min="11" max="11" width="16" style="8" bestFit="1" customWidth="1"/>
    <col min="12" max="17" width="9.08984375" style="8"/>
    <col min="18" max="18" width="9.90625" style="8" bestFit="1" customWidth="1"/>
    <col min="19" max="16384" width="9.08984375" style="8"/>
  </cols>
  <sheetData>
    <row r="1" spans="1:11" s="71" customFormat="1" ht="70" customHeight="1" x14ac:dyDescent="0.35">
      <c r="A1" s="72"/>
      <c r="B1" s="72"/>
    </row>
    <row r="2" spans="1:11" ht="18" customHeight="1" x14ac:dyDescent="0.35">
      <c r="B2" s="7"/>
      <c r="C2" s="9"/>
      <c r="D2" s="9"/>
      <c r="E2" s="9"/>
      <c r="F2" s="9"/>
      <c r="G2" s="9"/>
      <c r="H2" s="9"/>
      <c r="I2" s="9"/>
      <c r="J2" s="9"/>
      <c r="K2" s="9"/>
    </row>
    <row r="3" spans="1:11" ht="21" x14ac:dyDescent="0.35">
      <c r="B3" s="7"/>
      <c r="C3" s="75" t="s">
        <v>60</v>
      </c>
      <c r="D3" s="75"/>
      <c r="E3" s="75"/>
      <c r="F3" s="9"/>
      <c r="G3" s="76" t="s">
        <v>3</v>
      </c>
      <c r="H3" s="76"/>
      <c r="I3" s="76"/>
      <c r="J3" s="76"/>
      <c r="K3" s="9"/>
    </row>
    <row r="4" spans="1:11" ht="14.25" customHeight="1" x14ac:dyDescent="0.35">
      <c r="B4" s="7"/>
      <c r="C4" s="9"/>
      <c r="D4" s="9"/>
      <c r="E4" s="9"/>
      <c r="F4" s="9"/>
      <c r="G4" s="9"/>
      <c r="H4" s="9"/>
      <c r="I4" s="9"/>
      <c r="J4" s="9"/>
      <c r="K4" s="9"/>
    </row>
    <row r="5" spans="1:11" x14ac:dyDescent="0.35">
      <c r="B5" s="7"/>
      <c r="C5" s="8" t="s">
        <v>61</v>
      </c>
      <c r="D5" s="73">
        <f>D12</f>
        <v>820</v>
      </c>
      <c r="E5" s="10"/>
      <c r="F5" s="10"/>
      <c r="G5" s="10"/>
      <c r="H5" s="8" t="s">
        <v>54</v>
      </c>
      <c r="I5" s="73">
        <f>D13</f>
        <v>900</v>
      </c>
      <c r="K5" s="9"/>
    </row>
    <row r="6" spans="1:11" x14ac:dyDescent="0.35">
      <c r="B6" s="7"/>
      <c r="C6" s="8" t="s">
        <v>62</v>
      </c>
      <c r="D6" s="74">
        <f>D30</f>
        <v>801</v>
      </c>
      <c r="E6" s="10"/>
      <c r="F6" s="10"/>
      <c r="G6" s="10"/>
      <c r="H6" s="8" t="s">
        <v>55</v>
      </c>
      <c r="I6" s="74">
        <f>D31</f>
        <v>911.4</v>
      </c>
      <c r="K6" s="9"/>
    </row>
    <row r="7" spans="1:11" x14ac:dyDescent="0.35">
      <c r="B7" s="7"/>
      <c r="C7" s="83" t="s">
        <v>0</v>
      </c>
      <c r="D7" s="84">
        <f>D5-D6</f>
        <v>19</v>
      </c>
      <c r="E7" s="11"/>
      <c r="F7" s="11"/>
      <c r="G7" s="11"/>
      <c r="H7" s="83" t="s">
        <v>0</v>
      </c>
      <c r="I7" s="84">
        <f>I5-I6</f>
        <v>-11.399999999999977</v>
      </c>
      <c r="K7" s="9"/>
    </row>
    <row r="8" spans="1:11" x14ac:dyDescent="0.35">
      <c r="B8" s="7"/>
      <c r="C8" s="9"/>
      <c r="D8" s="9"/>
      <c r="E8" s="9"/>
      <c r="F8" s="9"/>
      <c r="G8" s="9"/>
      <c r="H8" s="9"/>
      <c r="I8" s="9"/>
      <c r="J8" s="9"/>
      <c r="K8" s="9"/>
    </row>
    <row r="9" spans="1:11" ht="15.75" customHeight="1" x14ac:dyDescent="0.35">
      <c r="B9" s="7"/>
      <c r="C9" s="12"/>
      <c r="D9" s="12"/>
      <c r="E9" s="12"/>
      <c r="F9" s="12"/>
      <c r="G9" s="12"/>
      <c r="H9" s="12"/>
      <c r="I9" s="12"/>
      <c r="J9" s="12"/>
      <c r="K9" s="12"/>
    </row>
    <row r="10" spans="1:11" ht="39.75" customHeight="1" thickBot="1" x14ac:dyDescent="0.55000000000000004">
      <c r="B10" s="7"/>
      <c r="C10" s="1" t="s">
        <v>57</v>
      </c>
      <c r="D10" s="13"/>
      <c r="E10" s="13"/>
      <c r="F10" s="13"/>
      <c r="G10" s="13"/>
      <c r="H10" s="13"/>
      <c r="I10" s="13"/>
      <c r="J10" s="13"/>
      <c r="K10" s="13"/>
    </row>
    <row r="11" spans="1:11" ht="27.75" customHeight="1" thickTop="1" x14ac:dyDescent="0.35">
      <c r="B11" s="7"/>
      <c r="C11" s="14"/>
      <c r="D11" s="15"/>
      <c r="E11" s="15"/>
      <c r="F11" s="15"/>
      <c r="G11" s="15"/>
      <c r="H11" s="15"/>
      <c r="I11" s="15"/>
      <c r="J11" s="15"/>
      <c r="K11" s="15"/>
    </row>
    <row r="12" spans="1:11" x14ac:dyDescent="0.35">
      <c r="B12" s="7"/>
      <c r="C12" s="77" t="s">
        <v>59</v>
      </c>
      <c r="D12" s="82">
        <f>Ingresos23[[#Totals],[PLANEADO]]</f>
        <v>820</v>
      </c>
      <c r="E12" s="15"/>
      <c r="F12" s="15"/>
      <c r="G12" s="15"/>
      <c r="H12" s="15"/>
      <c r="I12" s="15"/>
      <c r="J12" s="15"/>
      <c r="K12" s="15"/>
    </row>
    <row r="13" spans="1:11" x14ac:dyDescent="0.35">
      <c r="B13" s="7"/>
      <c r="C13" s="78" t="s">
        <v>51</v>
      </c>
      <c r="D13" s="82">
        <f>Ingresos23[[#Totals],[REAL]]</f>
        <v>900</v>
      </c>
      <c r="E13" s="15"/>
      <c r="F13" s="15"/>
      <c r="G13" s="15"/>
      <c r="H13" s="15"/>
      <c r="I13" s="15"/>
      <c r="J13" s="15"/>
      <c r="K13" s="15"/>
    </row>
    <row r="14" spans="1:11" x14ac:dyDescent="0.35">
      <c r="B14" s="7"/>
      <c r="C14" s="79" t="s">
        <v>0</v>
      </c>
      <c r="D14" s="81">
        <f>D13-D12</f>
        <v>80</v>
      </c>
      <c r="E14" s="95" t="str">
        <f>IF(D14=0,"",IF(D14&gt;0,"Los ingresos fueron mayores a los planeados","Los ingresos fueron menores a los planeados"))</f>
        <v>Los ingresos fueron mayores a los planeados</v>
      </c>
      <c r="F14" s="15"/>
      <c r="G14" s="15"/>
      <c r="H14" s="15"/>
      <c r="I14" s="15"/>
      <c r="J14" s="15"/>
      <c r="K14" s="15"/>
    </row>
    <row r="15" spans="1:11" ht="21" customHeight="1" x14ac:dyDescent="0.35">
      <c r="B15" s="7"/>
    </row>
    <row r="16" spans="1:11" ht="27" customHeight="1" x14ac:dyDescent="0.35">
      <c r="B16" s="7"/>
      <c r="C16" s="17" t="s">
        <v>49</v>
      </c>
      <c r="D16" s="18" t="s">
        <v>2</v>
      </c>
      <c r="E16" s="19" t="s">
        <v>3</v>
      </c>
      <c r="F16" s="18" t="s">
        <v>4</v>
      </c>
    </row>
    <row r="17" spans="2:11" x14ac:dyDescent="0.35">
      <c r="B17" s="7"/>
      <c r="C17" s="20" t="s">
        <v>50</v>
      </c>
      <c r="D17" s="21">
        <v>750</v>
      </c>
      <c r="E17" s="21">
        <v>750</v>
      </c>
      <c r="F17" s="22">
        <f>Ingresos23[[#This Row],[REAL]]-Ingresos23[[#This Row],[PLANEADO]]</f>
        <v>0</v>
      </c>
    </row>
    <row r="18" spans="2:11" x14ac:dyDescent="0.35">
      <c r="B18" s="7"/>
      <c r="C18" s="20" t="s">
        <v>75</v>
      </c>
      <c r="D18" s="21">
        <v>20</v>
      </c>
      <c r="E18" s="21">
        <v>50</v>
      </c>
      <c r="F18" s="22">
        <f>Ingresos23[[#This Row],[REAL]]-Ingresos23[[#This Row],[PLANEADO]]</f>
        <v>30</v>
      </c>
    </row>
    <row r="19" spans="2:11" x14ac:dyDescent="0.35">
      <c r="B19" s="7"/>
      <c r="C19" s="20" t="s">
        <v>74</v>
      </c>
      <c r="D19" s="21">
        <v>50</v>
      </c>
      <c r="E19" s="21">
        <v>100</v>
      </c>
      <c r="F19" s="22">
        <f>Ingresos23[[#This Row],[REAL]]-Ingresos23[[#This Row],[PLANEADO]]</f>
        <v>50</v>
      </c>
    </row>
    <row r="20" spans="2:11" x14ac:dyDescent="0.35">
      <c r="B20" s="7"/>
      <c r="C20" s="23"/>
      <c r="D20" s="24"/>
      <c r="E20" s="25"/>
      <c r="F20" s="26">
        <f>Ingresos23[[#This Row],[REAL]]-Ingresos23[[#This Row],[PLANEADO]]</f>
        <v>0</v>
      </c>
    </row>
    <row r="21" spans="2:11" x14ac:dyDescent="0.35">
      <c r="B21" s="7"/>
      <c r="C21" s="23"/>
      <c r="D21" s="24"/>
      <c r="E21" s="25"/>
      <c r="F21" s="26">
        <f>Ingresos23[[#This Row],[REAL]]-Ingresos23[[#This Row],[PLANEADO]]</f>
        <v>0</v>
      </c>
    </row>
    <row r="22" spans="2:11" x14ac:dyDescent="0.35">
      <c r="B22" s="7"/>
      <c r="C22" s="23"/>
      <c r="D22" s="24"/>
      <c r="E22" s="25"/>
      <c r="F22" s="26">
        <f>Ingresos23[[#This Row],[REAL]]-Ingresos23[[#This Row],[PLANEADO]]</f>
        <v>0</v>
      </c>
    </row>
    <row r="23" spans="2:11" x14ac:dyDescent="0.35">
      <c r="B23" s="7"/>
      <c r="C23" s="23"/>
      <c r="D23" s="24"/>
      <c r="E23" s="25"/>
      <c r="F23" s="26">
        <f>Ingresos23[[#This Row],[REAL]]-Ingresos23[[#This Row],[PLANEADO]]</f>
        <v>0</v>
      </c>
    </row>
    <row r="24" spans="2:11" ht="20.25" customHeight="1" x14ac:dyDescent="0.35">
      <c r="B24" s="7"/>
      <c r="C24" s="27" t="s">
        <v>16</v>
      </c>
      <c r="D24" s="28">
        <f>SUBTOTAL(109,Ingresos23[PLANEADO])</f>
        <v>820</v>
      </c>
      <c r="E24" s="28">
        <f>SUBTOTAL(109,Ingresos23[REAL])</f>
        <v>900</v>
      </c>
      <c r="F24" s="28">
        <f>SUBTOTAL(109,Ingresos23[DIFERENCIA])</f>
        <v>80</v>
      </c>
    </row>
    <row r="25" spans="2:11" x14ac:dyDescent="0.35">
      <c r="B25" s="7"/>
    </row>
    <row r="26" spans="2:11" x14ac:dyDescent="0.35">
      <c r="B26" s="7"/>
    </row>
    <row r="27" spans="2:11" ht="21.5" thickBot="1" x14ac:dyDescent="0.55000000000000004">
      <c r="B27" s="7"/>
      <c r="C27" s="85" t="s">
        <v>58</v>
      </c>
      <c r="D27" s="29"/>
      <c r="E27" s="29"/>
      <c r="F27" s="29"/>
      <c r="G27" s="29"/>
      <c r="H27" s="29"/>
      <c r="I27" s="29"/>
      <c r="J27" s="29"/>
      <c r="K27" s="29"/>
    </row>
    <row r="28" spans="2:11" ht="16" thickTop="1" x14ac:dyDescent="0.35">
      <c r="B28" s="7"/>
    </row>
    <row r="29" spans="2:11" x14ac:dyDescent="0.35">
      <c r="B29" s="7"/>
    </row>
    <row r="30" spans="2:11" x14ac:dyDescent="0.35">
      <c r="B30" s="7"/>
      <c r="C30" s="86" t="s">
        <v>63</v>
      </c>
      <c r="D30" s="87">
        <f>Vivienda12[[#Totals],[PLANIFICADO]]+Prestamo19[[#Totals],[PLANIFICADO]]+Impuestos17[[#Totals],[PLANIFICADO]]+Transporte18[[#Totals],[PLANIFICADO]]+Inversiones20[[#Totals],[PLANIFICADO]]+Alimentación16[[#Totals],[PLANIFICADO]]+Seguros14[[#Totals],[PLANIFICADO]]+Mascotas15[[#Totals],[PLANIFICADO]]+Ocio22[[#Totals],[PLANIFICADO]]+CuidadoPersonal21[[#Totals],[PLANIFICADO]]</f>
        <v>801</v>
      </c>
    </row>
    <row r="31" spans="2:11" x14ac:dyDescent="0.35">
      <c r="B31" s="7"/>
      <c r="C31" s="86" t="s">
        <v>52</v>
      </c>
      <c r="D31" s="87">
        <f>Vivienda12[[#Totals],[REAL]]+Prestamo19[[#Totals],[REAL]]+Impuestos17[[#Totals],[REAL]]+Inversiones20[[#Totals],[REAL]]+Transporte18[[#Totals],[REAL]]+Alimentación16[[#Totals],[REAL]]+Seguros14[[#Totals],[REAL]]+Mascotas15[[#Totals],[REAL]]+Ocio22[[#Totals],[REAL]]+CuidadoPersonal21[[#Totals],[REAL]]</f>
        <v>911.4</v>
      </c>
    </row>
    <row r="32" spans="2:11" x14ac:dyDescent="0.35">
      <c r="B32" s="7"/>
      <c r="C32" s="79" t="s">
        <v>0</v>
      </c>
      <c r="D32" s="81">
        <f>D31-D30</f>
        <v>110.39999999999998</v>
      </c>
      <c r="E32" s="95" t="str">
        <f>IF(D32=0,"",IF(D32&gt;0,"Los gastos fueron mayores a los planeados","Los gastos fueron menores a los planeados"))</f>
        <v>Los gastos fueron mayores a los planeados</v>
      </c>
      <c r="F32" s="80"/>
    </row>
    <row r="33" spans="2:24" x14ac:dyDescent="0.35">
      <c r="B33" s="7"/>
    </row>
    <row r="34" spans="2:24" ht="15.9" customHeight="1" x14ac:dyDescent="0.35">
      <c r="B34" s="30"/>
      <c r="C34" s="31"/>
      <c r="D34" s="31"/>
      <c r="E34" s="32"/>
      <c r="F34" s="33"/>
      <c r="G34" s="34"/>
      <c r="H34" s="35"/>
      <c r="I34" s="35"/>
      <c r="J34" s="35"/>
      <c r="K34" s="36"/>
    </row>
    <row r="35" spans="2:24" ht="15.9" customHeight="1" x14ac:dyDescent="0.35">
      <c r="B35" s="37"/>
      <c r="C35" s="38" t="s">
        <v>1</v>
      </c>
      <c r="D35" s="39" t="s">
        <v>60</v>
      </c>
      <c r="E35" s="39" t="s">
        <v>3</v>
      </c>
      <c r="F35" s="40" t="s">
        <v>4</v>
      </c>
      <c r="G35" s="41"/>
      <c r="H35" s="38" t="s">
        <v>5</v>
      </c>
      <c r="I35" s="39" t="s">
        <v>60</v>
      </c>
      <c r="J35" s="39" t="s">
        <v>3</v>
      </c>
      <c r="K35" s="40" t="s">
        <v>4</v>
      </c>
    </row>
    <row r="36" spans="2:24" ht="15.75" customHeight="1" x14ac:dyDescent="0.35">
      <c r="B36" s="30"/>
      <c r="C36" s="42" t="s">
        <v>6</v>
      </c>
      <c r="D36" s="43">
        <v>300</v>
      </c>
      <c r="E36" s="43">
        <v>300</v>
      </c>
      <c r="F36" s="44">
        <f>Vivienda12[[#This Row],[REAL]]-Vivienda12[[#This Row],[PLANIFICADO]]</f>
        <v>0</v>
      </c>
      <c r="G36" s="45"/>
      <c r="H36" s="42" t="s">
        <v>7</v>
      </c>
      <c r="I36" s="46">
        <v>0</v>
      </c>
      <c r="J36" s="46">
        <v>0</v>
      </c>
      <c r="K36" s="47">
        <f>Prestamo19[[#This Row],[REAL]]-Prestamo19[[#This Row],[PLANIFICADO]]</f>
        <v>0</v>
      </c>
    </row>
    <row r="37" spans="2:24" ht="15.75" customHeight="1" x14ac:dyDescent="0.35">
      <c r="B37" s="30"/>
      <c r="C37" s="42" t="s">
        <v>8</v>
      </c>
      <c r="D37" s="43">
        <v>0</v>
      </c>
      <c r="E37" s="43">
        <v>0</v>
      </c>
      <c r="F37" s="44">
        <f>Vivienda12[[#This Row],[REAL]]-Vivienda12[[#This Row],[PLANIFICADO]]</f>
        <v>0</v>
      </c>
      <c r="G37" s="45"/>
      <c r="H37" s="42" t="s">
        <v>9</v>
      </c>
      <c r="I37" s="46">
        <v>0</v>
      </c>
      <c r="J37" s="46">
        <v>0</v>
      </c>
      <c r="K37" s="47">
        <f>Prestamo19[[#This Row],[REAL]]-Prestamo19[[#This Row],[PLANIFICADO]]</f>
        <v>0</v>
      </c>
    </row>
    <row r="38" spans="2:24" ht="15.75" customHeight="1" x14ac:dyDescent="0.35">
      <c r="B38" s="30"/>
      <c r="C38" s="42" t="s">
        <v>10</v>
      </c>
      <c r="D38" s="43">
        <v>10</v>
      </c>
      <c r="E38" s="43">
        <v>15</v>
      </c>
      <c r="F38" s="44">
        <f>Vivienda12[[#This Row],[REAL]]-Vivienda12[[#This Row],[PLANIFICADO]]</f>
        <v>5</v>
      </c>
      <c r="G38" s="45"/>
      <c r="H38" s="42" t="s">
        <v>11</v>
      </c>
      <c r="I38" s="46">
        <v>0</v>
      </c>
      <c r="J38" s="46">
        <v>0</v>
      </c>
      <c r="K38" s="47">
        <f>Prestamo19[[#This Row],[REAL]]-Prestamo19[[#This Row],[PLANIFICADO]]</f>
        <v>0</v>
      </c>
    </row>
    <row r="39" spans="2:24" ht="15.75" customHeight="1" x14ac:dyDescent="0.35">
      <c r="B39" s="30"/>
      <c r="C39" s="42" t="s">
        <v>12</v>
      </c>
      <c r="D39" s="43">
        <v>5</v>
      </c>
      <c r="E39" s="43">
        <v>10</v>
      </c>
      <c r="F39" s="44">
        <f>Vivienda12[[#This Row],[REAL]]-Vivienda12[[#This Row],[PLANIFICADO]]</f>
        <v>5</v>
      </c>
      <c r="G39" s="45"/>
      <c r="H39" s="42" t="s">
        <v>67</v>
      </c>
      <c r="I39" s="46">
        <v>45</v>
      </c>
      <c r="J39" s="46">
        <v>30</v>
      </c>
      <c r="K39" s="47">
        <f>Prestamo19[[#This Row],[REAL]]-Prestamo19[[#This Row],[PLANIFICADO]]</f>
        <v>-15</v>
      </c>
    </row>
    <row r="40" spans="2:24" ht="15.75" customHeight="1" x14ac:dyDescent="0.35">
      <c r="B40" s="30"/>
      <c r="C40" s="42" t="s">
        <v>13</v>
      </c>
      <c r="D40" s="43">
        <v>10</v>
      </c>
      <c r="E40" s="43">
        <v>15</v>
      </c>
      <c r="F40" s="44">
        <f>Vivienda12[[#This Row],[REAL]]-Vivienda12[[#This Row],[PLANIFICADO]]</f>
        <v>5</v>
      </c>
      <c r="G40" s="45"/>
      <c r="H40" s="42" t="s">
        <v>68</v>
      </c>
      <c r="I40" s="46">
        <v>0</v>
      </c>
      <c r="J40" s="46">
        <v>0</v>
      </c>
      <c r="K40" s="47">
        <f>Prestamo19[[#This Row],[REAL]]-Prestamo19[[#This Row],[PLANIFICADO]]</f>
        <v>0</v>
      </c>
    </row>
    <row r="41" spans="2:24" ht="15.75" customHeight="1" x14ac:dyDescent="0.35">
      <c r="B41" s="30"/>
      <c r="C41" s="42" t="s">
        <v>14</v>
      </c>
      <c r="D41" s="43">
        <v>40</v>
      </c>
      <c r="E41" s="43">
        <v>40</v>
      </c>
      <c r="F41" s="44">
        <f>Vivienda12[[#This Row],[REAL]]-Vivienda12[[#This Row],[PLANIFICADO]]</f>
        <v>0</v>
      </c>
      <c r="G41" s="45"/>
      <c r="H41" s="42" t="s">
        <v>15</v>
      </c>
      <c r="I41" s="46">
        <v>0</v>
      </c>
      <c r="J41" s="46">
        <v>0</v>
      </c>
      <c r="K41" s="47">
        <f>Prestamo19[[#This Row],[REAL]]-Prestamo19[[#This Row],[PLANIFICADO]]</f>
        <v>0</v>
      </c>
    </row>
    <row r="42" spans="2:24" ht="15.75" customHeight="1" x14ac:dyDescent="0.35">
      <c r="B42" s="30"/>
      <c r="C42" s="42" t="s">
        <v>65</v>
      </c>
      <c r="D42" s="43">
        <v>10</v>
      </c>
      <c r="E42" s="43">
        <v>10</v>
      </c>
      <c r="F42" s="44">
        <f>Vivienda12[[#This Row],[REAL]]-Vivienda12[[#This Row],[PLANIFICADO]]</f>
        <v>0</v>
      </c>
      <c r="G42" s="45"/>
      <c r="H42" s="89" t="s">
        <v>16</v>
      </c>
      <c r="I42" s="90">
        <f>SUBTOTAL(109,Prestamo19[PLANIFICADO])</f>
        <v>45</v>
      </c>
      <c r="J42" s="90">
        <f>SUBTOTAL(109,Prestamo19[REAL])</f>
        <v>30</v>
      </c>
      <c r="K42" s="91">
        <f>SUBTOTAL(109,Prestamo19[DIFERENCIA])</f>
        <v>-15</v>
      </c>
      <c r="O42" s="48"/>
      <c r="P42" s="48"/>
      <c r="Q42" s="48"/>
      <c r="R42" s="49"/>
    </row>
    <row r="43" spans="2:24" ht="15.75" customHeight="1" x14ac:dyDescent="0.35">
      <c r="B43" s="30"/>
      <c r="C43" s="42" t="s">
        <v>17</v>
      </c>
      <c r="D43" s="43">
        <v>0</v>
      </c>
      <c r="E43" s="43">
        <v>50</v>
      </c>
      <c r="F43" s="44">
        <f>Vivienda12[[#This Row],[REAL]]-Vivienda12[[#This Row],[PLANIFICADO]]</f>
        <v>50</v>
      </c>
      <c r="G43" s="45"/>
      <c r="O43" s="48"/>
      <c r="P43" s="48"/>
      <c r="Q43" s="48"/>
      <c r="R43" s="50"/>
    </row>
    <row r="44" spans="2:24" ht="15.75" customHeight="1" x14ac:dyDescent="0.35">
      <c r="B44" s="30"/>
      <c r="C44" s="88" t="s">
        <v>15</v>
      </c>
      <c r="D44" s="43"/>
      <c r="E44" s="43"/>
      <c r="F44" s="44">
        <f>Vivienda12[[#This Row],[REAL]]-Vivienda12[[#This Row],[PLANIFICADO]]</f>
        <v>0</v>
      </c>
      <c r="G44" s="45"/>
      <c r="H44" s="38" t="s">
        <v>18</v>
      </c>
      <c r="I44" s="39" t="s">
        <v>60</v>
      </c>
      <c r="J44" s="39" t="s">
        <v>3</v>
      </c>
      <c r="K44" s="40" t="s">
        <v>4</v>
      </c>
      <c r="O44" s="48"/>
      <c r="P44" s="48"/>
      <c r="Q44" s="48"/>
      <c r="R44" s="49"/>
    </row>
    <row r="45" spans="2:24" ht="15.75" customHeight="1" x14ac:dyDescent="0.35">
      <c r="B45" s="30"/>
      <c r="C45" s="42" t="s">
        <v>15</v>
      </c>
      <c r="D45" s="43"/>
      <c r="E45" s="43"/>
      <c r="F45" s="44">
        <f>Vivienda12[[#This Row],[REAL]]-Vivienda12[[#This Row],[PLANIFICADO]]</f>
        <v>0</v>
      </c>
      <c r="G45" s="45"/>
      <c r="H45" s="42" t="s">
        <v>15</v>
      </c>
      <c r="I45" s="46">
        <v>0</v>
      </c>
      <c r="J45" s="46">
        <v>0</v>
      </c>
      <c r="K45" s="47">
        <f>Impuestos17[[#This Row],[REAL]]-Impuestos17[[#This Row],[PLANIFICADO]]</f>
        <v>0</v>
      </c>
      <c r="O45" s="48"/>
      <c r="P45" s="48"/>
      <c r="Q45" s="48"/>
      <c r="R45" s="50"/>
    </row>
    <row r="46" spans="2:24" ht="15.75" customHeight="1" x14ac:dyDescent="0.35">
      <c r="B46" s="30"/>
      <c r="C46" s="89" t="s">
        <v>16</v>
      </c>
      <c r="D46" s="90">
        <f>SUBTOTAL(109,Vivienda12[PLANIFICADO])</f>
        <v>375</v>
      </c>
      <c r="E46" s="90">
        <f>SUBTOTAL(109,Vivienda12[REAL])</f>
        <v>440</v>
      </c>
      <c r="F46" s="91">
        <f>SUBTOTAL(109,Vivienda12[DIFERENCIA])</f>
        <v>65</v>
      </c>
      <c r="G46" s="45"/>
      <c r="H46" s="42" t="s">
        <v>15</v>
      </c>
      <c r="I46" s="46">
        <v>0</v>
      </c>
      <c r="J46" s="46">
        <v>0</v>
      </c>
      <c r="K46" s="47">
        <f>Impuestos17[[#This Row],[REAL]]-Impuestos17[[#This Row],[PLANIFICADO]]</f>
        <v>0</v>
      </c>
      <c r="O46" s="48"/>
      <c r="P46" s="48"/>
      <c r="Q46" s="48"/>
      <c r="R46" s="49"/>
      <c r="S46" s="51"/>
      <c r="T46" s="34"/>
      <c r="U46" s="52"/>
      <c r="V46" s="52"/>
      <c r="W46" s="52"/>
      <c r="X46" s="53"/>
    </row>
    <row r="47" spans="2:24" ht="15.75" customHeight="1" x14ac:dyDescent="0.35">
      <c r="B47" s="30"/>
      <c r="C47" s="54"/>
      <c r="D47" s="54"/>
      <c r="E47" s="54"/>
      <c r="F47" s="54"/>
      <c r="G47" s="45"/>
      <c r="H47" s="42" t="s">
        <v>15</v>
      </c>
      <c r="I47" s="46">
        <v>0</v>
      </c>
      <c r="J47" s="46">
        <v>0</v>
      </c>
      <c r="K47" s="47">
        <f>Impuestos17[[#This Row],[REAL]]-Impuestos17[[#This Row],[PLANIFICADO]]</f>
        <v>0</v>
      </c>
      <c r="O47" s="48"/>
      <c r="P47" s="48"/>
      <c r="Q47" s="48"/>
      <c r="R47" s="50"/>
      <c r="S47" s="51"/>
      <c r="T47" s="34"/>
      <c r="U47" s="52"/>
      <c r="V47" s="52"/>
      <c r="W47" s="52"/>
      <c r="X47" s="53"/>
    </row>
    <row r="48" spans="2:24" ht="15.75" customHeight="1" x14ac:dyDescent="0.35">
      <c r="B48" s="30"/>
      <c r="C48" s="55" t="s">
        <v>19</v>
      </c>
      <c r="D48" s="39" t="s">
        <v>60</v>
      </c>
      <c r="E48" s="39" t="s">
        <v>3</v>
      </c>
      <c r="F48" s="40" t="s">
        <v>4</v>
      </c>
      <c r="G48" s="45"/>
      <c r="H48" s="42" t="s">
        <v>15</v>
      </c>
      <c r="I48" s="46">
        <v>0</v>
      </c>
      <c r="J48" s="46">
        <v>0</v>
      </c>
      <c r="K48" s="47">
        <f>Impuestos17[[#This Row],[REAL]]-Impuestos17[[#This Row],[PLANIFICADO]]</f>
        <v>0</v>
      </c>
      <c r="P48" s="56"/>
      <c r="Q48" s="34"/>
      <c r="R48" s="34"/>
      <c r="S48" s="57"/>
      <c r="T48" s="34"/>
      <c r="U48" s="52"/>
      <c r="V48" s="52"/>
      <c r="W48" s="52"/>
      <c r="X48" s="53"/>
    </row>
    <row r="49" spans="2:24" ht="15.75" customHeight="1" x14ac:dyDescent="0.35">
      <c r="B49" s="30"/>
      <c r="C49" s="42" t="s">
        <v>20</v>
      </c>
      <c r="D49" s="46">
        <v>0</v>
      </c>
      <c r="E49" s="46">
        <v>10</v>
      </c>
      <c r="F49" s="47">
        <f>Transporte18[[#This Row],[REAL]]-Transporte18[[#This Row],[PLANIFICADO]]</f>
        <v>10</v>
      </c>
      <c r="G49" s="45"/>
      <c r="H49" s="89" t="s">
        <v>16</v>
      </c>
      <c r="I49" s="90">
        <f>SUBTOTAL(109,Impuestos17[PLANIFICADO])</f>
        <v>0</v>
      </c>
      <c r="J49" s="90">
        <f>SUBTOTAL(109,Impuestos17[REAL])</f>
        <v>0</v>
      </c>
      <c r="K49" s="91">
        <f>SUBTOTAL(109,Impuestos17[DIFERENCIA])</f>
        <v>0</v>
      </c>
      <c r="P49" s="58"/>
      <c r="Q49" s="59"/>
      <c r="R49" s="60"/>
      <c r="S49" s="61"/>
      <c r="T49" s="34"/>
      <c r="U49" s="52"/>
      <c r="V49" s="52"/>
      <c r="W49" s="52"/>
      <c r="X49" s="53"/>
    </row>
    <row r="50" spans="2:24" ht="15.75" customHeight="1" x14ac:dyDescent="0.35">
      <c r="B50" s="30"/>
      <c r="C50" s="88" t="s">
        <v>69</v>
      </c>
      <c r="D50" s="46">
        <v>0</v>
      </c>
      <c r="E50" s="46">
        <v>0.4</v>
      </c>
      <c r="F50" s="47">
        <f>Transporte18[[#This Row],[REAL]]-Transporte18[[#This Row],[PLANIFICADO]]</f>
        <v>0.4</v>
      </c>
      <c r="G50" s="45"/>
      <c r="P50" s="58"/>
      <c r="Q50" s="62"/>
      <c r="R50" s="63"/>
      <c r="S50" s="61"/>
      <c r="T50" s="34"/>
      <c r="U50" s="52"/>
      <c r="V50" s="52"/>
      <c r="W50" s="52"/>
      <c r="X50" s="53"/>
    </row>
    <row r="51" spans="2:24" ht="15.75" customHeight="1" x14ac:dyDescent="0.35">
      <c r="B51" s="30"/>
      <c r="C51" s="42" t="s">
        <v>70</v>
      </c>
      <c r="D51" s="46">
        <v>100</v>
      </c>
      <c r="E51" s="46">
        <v>100</v>
      </c>
      <c r="F51" s="47">
        <f>Transporte18[[#This Row],[REAL]]-Transporte18[[#This Row],[PLANIFICADO]]</f>
        <v>0</v>
      </c>
      <c r="G51" s="45"/>
      <c r="H51" s="55" t="s">
        <v>21</v>
      </c>
      <c r="I51" s="39" t="s">
        <v>60</v>
      </c>
      <c r="J51" s="39" t="s">
        <v>3</v>
      </c>
      <c r="K51" s="40" t="s">
        <v>4</v>
      </c>
      <c r="P51" s="64"/>
      <c r="Q51" s="62"/>
      <c r="R51" s="63"/>
      <c r="S51" s="65"/>
      <c r="T51" s="34"/>
      <c r="U51" s="52"/>
      <c r="V51" s="52"/>
      <c r="W51" s="52"/>
      <c r="X51" s="53"/>
    </row>
    <row r="52" spans="2:24" ht="15.75" customHeight="1" x14ac:dyDescent="0.35">
      <c r="B52" s="30"/>
      <c r="C52" s="42" t="s">
        <v>22</v>
      </c>
      <c r="D52" s="46">
        <v>20</v>
      </c>
      <c r="E52" s="46">
        <v>20</v>
      </c>
      <c r="F52" s="47">
        <f>Transporte18[[#This Row],[REAL]]-Transporte18[[#This Row],[PLANIFICADO]]</f>
        <v>0</v>
      </c>
      <c r="G52" s="45"/>
      <c r="H52" s="42" t="s">
        <v>76</v>
      </c>
      <c r="I52" s="46">
        <v>50</v>
      </c>
      <c r="J52" s="46">
        <v>50</v>
      </c>
      <c r="K52" s="47">
        <f>Inversiones20[[#This Row],[REAL]]-Inversiones20[[#This Row],[PLANIFICADO]]</f>
        <v>0</v>
      </c>
    </row>
    <row r="53" spans="2:24" ht="15.75" customHeight="1" x14ac:dyDescent="0.35">
      <c r="B53" s="30"/>
      <c r="C53" s="88" t="s">
        <v>23</v>
      </c>
      <c r="D53" s="46">
        <v>0</v>
      </c>
      <c r="E53" s="46">
        <v>0</v>
      </c>
      <c r="F53" s="47">
        <f>Transporte18[[#This Row],[REAL]]-Transporte18[[#This Row],[PLANIFICADO]]</f>
        <v>0</v>
      </c>
      <c r="G53" s="45"/>
      <c r="H53" s="42" t="s">
        <v>15</v>
      </c>
      <c r="I53" s="46"/>
      <c r="J53" s="46"/>
      <c r="K53" s="47">
        <f>Inversiones20[[#This Row],[REAL]]-Inversiones20[[#This Row],[PLANIFICADO]]</f>
        <v>0</v>
      </c>
    </row>
    <row r="54" spans="2:24" ht="15.75" customHeight="1" x14ac:dyDescent="0.35">
      <c r="B54" s="30"/>
      <c r="C54" s="88" t="s">
        <v>73</v>
      </c>
      <c r="D54" s="46">
        <v>0</v>
      </c>
      <c r="E54" s="46">
        <v>0</v>
      </c>
      <c r="F54" s="47">
        <f>Transporte18[[#This Row],[REAL]]-Transporte18[[#This Row],[PLANIFICADO]]</f>
        <v>0</v>
      </c>
      <c r="G54" s="45"/>
      <c r="H54" s="42" t="s">
        <v>15</v>
      </c>
      <c r="I54" s="46"/>
      <c r="J54" s="46"/>
      <c r="K54" s="47">
        <f>Inversiones20[[#This Row],[REAL]]-Inversiones20[[#This Row],[PLANIFICADO]]</f>
        <v>0</v>
      </c>
    </row>
    <row r="55" spans="2:24" ht="15.75" customHeight="1" x14ac:dyDescent="0.35">
      <c r="B55" s="30"/>
      <c r="C55" s="42" t="s">
        <v>15</v>
      </c>
      <c r="D55" s="46">
        <v>0</v>
      </c>
      <c r="E55" s="46">
        <v>0</v>
      </c>
      <c r="F55" s="47">
        <f>Transporte18[[#This Row],[REAL]]-Transporte18[[#This Row],[PLANIFICADO]]</f>
        <v>0</v>
      </c>
      <c r="G55" s="45"/>
      <c r="H55" s="89" t="s">
        <v>16</v>
      </c>
      <c r="I55" s="90">
        <f>SUBTOTAL(109,Inversiones20[PLANIFICADO])</f>
        <v>50</v>
      </c>
      <c r="J55" s="90">
        <f>SUBTOTAL(109,Inversiones20[REAL])</f>
        <v>50</v>
      </c>
      <c r="K55" s="91">
        <f>SUBTOTAL(109,Inversiones20[DIFERENCIA])</f>
        <v>0</v>
      </c>
    </row>
    <row r="56" spans="2:24" ht="15.75" customHeight="1" x14ac:dyDescent="0.35">
      <c r="B56" s="30"/>
      <c r="C56" s="89" t="s">
        <v>16</v>
      </c>
      <c r="D56" s="90">
        <f>SUBTOTAL(109,Transporte18[PLANIFICADO])</f>
        <v>120</v>
      </c>
      <c r="E56" s="90">
        <f>SUBTOTAL(109,Transporte18[REAL])</f>
        <v>130.4</v>
      </c>
      <c r="F56" s="91">
        <f>SUBTOTAL(109,Transporte18[DIFERENCIA])</f>
        <v>10.4</v>
      </c>
      <c r="G56" s="45"/>
      <c r="I56" s="66"/>
      <c r="J56" s="66"/>
      <c r="K56" s="66"/>
    </row>
    <row r="57" spans="2:24" ht="15.75" customHeight="1" x14ac:dyDescent="0.35">
      <c r="B57" s="30"/>
      <c r="C57" s="54"/>
      <c r="D57" s="54"/>
      <c r="E57" s="54"/>
      <c r="F57" s="54"/>
      <c r="G57" s="45"/>
    </row>
    <row r="58" spans="2:24" ht="15.75" customHeight="1" x14ac:dyDescent="0.35">
      <c r="B58" s="30"/>
      <c r="C58" s="55" t="s">
        <v>24</v>
      </c>
      <c r="D58" s="39" t="s">
        <v>60</v>
      </c>
      <c r="E58" s="39" t="s">
        <v>3</v>
      </c>
      <c r="F58" s="40" t="s">
        <v>4</v>
      </c>
      <c r="G58" s="45"/>
      <c r="H58" s="55" t="s">
        <v>25</v>
      </c>
      <c r="I58" s="39" t="s">
        <v>60</v>
      </c>
      <c r="J58" s="39" t="s">
        <v>3</v>
      </c>
      <c r="K58" s="40" t="s">
        <v>4</v>
      </c>
    </row>
    <row r="59" spans="2:24" ht="15.75" customHeight="1" x14ac:dyDescent="0.35">
      <c r="B59" s="30"/>
      <c r="C59" s="42" t="s">
        <v>26</v>
      </c>
      <c r="D59" s="46">
        <v>100</v>
      </c>
      <c r="E59" s="46">
        <v>75</v>
      </c>
      <c r="F59" s="47">
        <f>Alimentación16[[#This Row],[REAL]]-Alimentación16[[#This Row],[PLANIFICADO]]</f>
        <v>-25</v>
      </c>
      <c r="G59" s="45"/>
      <c r="H59" s="42" t="s">
        <v>27</v>
      </c>
      <c r="I59" s="46">
        <v>0</v>
      </c>
      <c r="J59" s="46">
        <v>0</v>
      </c>
      <c r="K59" s="47">
        <f>Seguros14[[#This Row],[REAL]]-Seguros14[[#This Row],[PLANIFICADO]]</f>
        <v>0</v>
      </c>
    </row>
    <row r="60" spans="2:24" ht="15.75" customHeight="1" x14ac:dyDescent="0.35">
      <c r="B60" s="30"/>
      <c r="C60" s="42" t="s">
        <v>28</v>
      </c>
      <c r="D60" s="46">
        <v>0</v>
      </c>
      <c r="E60" s="46">
        <v>0</v>
      </c>
      <c r="F60" s="47">
        <f>Alimentación16[[#This Row],[REAL]]-Alimentación16[[#This Row],[PLANIFICADO]]</f>
        <v>0</v>
      </c>
      <c r="G60" s="45"/>
      <c r="H60" s="42" t="s">
        <v>29</v>
      </c>
      <c r="I60" s="46">
        <v>0</v>
      </c>
      <c r="J60" s="46">
        <v>0</v>
      </c>
      <c r="K60" s="47">
        <f>Seguros14[[#This Row],[REAL]]-Seguros14[[#This Row],[PLANIFICADO]]</f>
        <v>0</v>
      </c>
    </row>
    <row r="61" spans="2:24" ht="15.75" customHeight="1" x14ac:dyDescent="0.35">
      <c r="B61" s="30"/>
      <c r="C61" s="42" t="s">
        <v>30</v>
      </c>
      <c r="D61" s="46">
        <v>15</v>
      </c>
      <c r="E61" s="46">
        <v>5</v>
      </c>
      <c r="F61" s="47">
        <f>Alimentación16[[#This Row],[REAL]]-Alimentación16[[#This Row],[PLANIFICADO]]</f>
        <v>-10</v>
      </c>
      <c r="G61" s="45"/>
      <c r="H61" s="42" t="s">
        <v>31</v>
      </c>
      <c r="I61" s="46">
        <v>0</v>
      </c>
      <c r="J61" s="46">
        <v>0</v>
      </c>
      <c r="K61" s="47">
        <f>Seguros14[[#This Row],[REAL]]-Seguros14[[#This Row],[PLANIFICADO]]</f>
        <v>0</v>
      </c>
    </row>
    <row r="62" spans="2:24" ht="15.75" customHeight="1" x14ac:dyDescent="0.35">
      <c r="B62" s="30"/>
      <c r="C62" s="89" t="s">
        <v>16</v>
      </c>
      <c r="D62" s="90">
        <f>SUBTOTAL(109,Alimentación16[PLANIFICADO])</f>
        <v>115</v>
      </c>
      <c r="E62" s="90">
        <f>SUBTOTAL(109,Alimentación16[REAL])</f>
        <v>80</v>
      </c>
      <c r="F62" s="91">
        <f>SUBTOTAL(109,Alimentación16[DIFERENCIA])</f>
        <v>-35</v>
      </c>
      <c r="G62" s="45"/>
      <c r="H62" s="42" t="s">
        <v>15</v>
      </c>
      <c r="I62" s="46">
        <v>0</v>
      </c>
      <c r="J62" s="46">
        <v>0</v>
      </c>
      <c r="K62" s="47">
        <f>Seguros14[[#This Row],[REAL]]-Seguros14[[#This Row],[PLANIFICADO]]</f>
        <v>0</v>
      </c>
    </row>
    <row r="63" spans="2:24" ht="15.75" customHeight="1" x14ac:dyDescent="0.35">
      <c r="B63" s="30"/>
      <c r="G63" s="45"/>
      <c r="H63" s="89" t="s">
        <v>16</v>
      </c>
      <c r="I63" s="90">
        <f>SUBTOTAL(109,Seguros14[PLANIFICADO])</f>
        <v>0</v>
      </c>
      <c r="J63" s="90">
        <f>SUBTOTAL(109,Seguros14[REAL])</f>
        <v>0</v>
      </c>
      <c r="K63" s="91">
        <f>SUBTOTAL(109,Seguros14[DIFERENCIA])</f>
        <v>0</v>
      </c>
    </row>
    <row r="64" spans="2:24" ht="15.75" customHeight="1" x14ac:dyDescent="0.35">
      <c r="B64" s="30"/>
      <c r="G64" s="45"/>
    </row>
    <row r="65" spans="2:11" ht="15.75" customHeight="1" x14ac:dyDescent="0.35">
      <c r="B65" s="30"/>
      <c r="C65" s="55" t="s">
        <v>53</v>
      </c>
      <c r="D65" s="39" t="s">
        <v>60</v>
      </c>
      <c r="E65" s="39" t="s">
        <v>3</v>
      </c>
      <c r="F65" s="40" t="s">
        <v>4</v>
      </c>
      <c r="G65" s="45"/>
      <c r="H65" s="55" t="s">
        <v>32</v>
      </c>
      <c r="I65" s="39" t="s">
        <v>60</v>
      </c>
      <c r="J65" s="39" t="s">
        <v>3</v>
      </c>
      <c r="K65" s="40" t="s">
        <v>4</v>
      </c>
    </row>
    <row r="66" spans="2:11" ht="15.75" customHeight="1" x14ac:dyDescent="0.35">
      <c r="B66" s="30"/>
      <c r="C66" s="42" t="s">
        <v>33</v>
      </c>
      <c r="D66" s="46">
        <v>30</v>
      </c>
      <c r="E66" s="46">
        <v>20</v>
      </c>
      <c r="F66" s="47">
        <f>Mascotas15[[#This Row],[REAL]]-Mascotas15[[#This Row],[PLANIFICADO]]</f>
        <v>-10</v>
      </c>
      <c r="G66" s="45"/>
      <c r="H66" s="42" t="s">
        <v>34</v>
      </c>
      <c r="I66" s="43">
        <v>11</v>
      </c>
      <c r="J66" s="43">
        <v>11</v>
      </c>
      <c r="K66" s="44">
        <f>Ocio22[[#This Row],[REAL]]-Ocio22[[#This Row],[PLANIFICADO]]</f>
        <v>0</v>
      </c>
    </row>
    <row r="67" spans="2:11" ht="15.75" customHeight="1" x14ac:dyDescent="0.35">
      <c r="B67" s="30"/>
      <c r="C67" s="42" t="s">
        <v>35</v>
      </c>
      <c r="D67" s="46">
        <v>0</v>
      </c>
      <c r="E67" s="46">
        <v>0</v>
      </c>
      <c r="F67" s="47">
        <f>Mascotas15[[#This Row],[REAL]]-Mascotas15[[#This Row],[PLANIFICADO]]</f>
        <v>0</v>
      </c>
      <c r="G67" s="45"/>
      <c r="H67" s="42" t="s">
        <v>36</v>
      </c>
      <c r="I67" s="43">
        <v>0</v>
      </c>
      <c r="J67" s="43">
        <v>0</v>
      </c>
      <c r="K67" s="44">
        <f>Ocio22[[#This Row],[REAL]]-Ocio22[[#This Row],[PLANIFICADO]]</f>
        <v>0</v>
      </c>
    </row>
    <row r="68" spans="2:11" ht="15.75" customHeight="1" x14ac:dyDescent="0.35">
      <c r="B68" s="30"/>
      <c r="C68" s="42" t="s">
        <v>37</v>
      </c>
      <c r="D68" s="46">
        <v>0</v>
      </c>
      <c r="E68" s="46">
        <v>0</v>
      </c>
      <c r="F68" s="47">
        <f>Mascotas15[[#This Row],[REAL]]-Mascotas15[[#This Row],[PLANIFICADO]]</f>
        <v>0</v>
      </c>
      <c r="G68" s="45"/>
      <c r="H68" s="42" t="s">
        <v>38</v>
      </c>
      <c r="I68" s="43">
        <v>0</v>
      </c>
      <c r="J68" s="43">
        <v>0</v>
      </c>
      <c r="K68" s="44">
        <f>Ocio22[[#This Row],[REAL]]-Ocio22[[#This Row],[PLANIFICADO]]</f>
        <v>0</v>
      </c>
    </row>
    <row r="69" spans="2:11" ht="15.75" customHeight="1" x14ac:dyDescent="0.35">
      <c r="B69" s="30"/>
      <c r="C69" s="42" t="s">
        <v>39</v>
      </c>
      <c r="D69" s="46">
        <v>0</v>
      </c>
      <c r="E69" s="46">
        <v>5</v>
      </c>
      <c r="F69" s="47">
        <f>Mascotas15[[#This Row],[REAL]]-Mascotas15[[#This Row],[PLANIFICADO]]</f>
        <v>5</v>
      </c>
      <c r="G69" s="45"/>
      <c r="H69" s="42" t="s">
        <v>40</v>
      </c>
      <c r="I69" s="43">
        <v>0</v>
      </c>
      <c r="J69" s="43">
        <v>30</v>
      </c>
      <c r="K69" s="44">
        <f>Ocio22[[#This Row],[REAL]]-Ocio22[[#This Row],[PLANIFICADO]]</f>
        <v>30</v>
      </c>
    </row>
    <row r="70" spans="2:11" ht="15.75" customHeight="1" x14ac:dyDescent="0.35">
      <c r="B70" s="30"/>
      <c r="C70" s="42" t="s">
        <v>15</v>
      </c>
      <c r="D70" s="46">
        <v>0</v>
      </c>
      <c r="E70" s="46">
        <v>0</v>
      </c>
      <c r="F70" s="47">
        <f>Mascotas15[[#This Row],[REAL]]-Mascotas15[[#This Row],[PLANIFICADO]]</f>
        <v>0</v>
      </c>
      <c r="G70" s="45"/>
      <c r="H70" s="42" t="s">
        <v>77</v>
      </c>
      <c r="I70" s="43">
        <v>10</v>
      </c>
      <c r="J70" s="43">
        <v>10</v>
      </c>
      <c r="K70" s="44">
        <f>Ocio22[[#This Row],[REAL]]-Ocio22[[#This Row],[PLANIFICADO]]</f>
        <v>0</v>
      </c>
    </row>
    <row r="71" spans="2:11" ht="15.75" customHeight="1" x14ac:dyDescent="0.35">
      <c r="B71" s="30"/>
      <c r="C71" s="89" t="s">
        <v>16</v>
      </c>
      <c r="D71" s="90">
        <f>SUBTOTAL(109,Mascotas15[PLANIFICADO])</f>
        <v>30</v>
      </c>
      <c r="E71" s="90">
        <f>SUBTOTAL(109,Mascotas15[REAL])</f>
        <v>25</v>
      </c>
      <c r="F71" s="91">
        <f>SUBTOTAL(109,Mascotas15[DIFERENCIA])</f>
        <v>-5</v>
      </c>
      <c r="G71" s="45"/>
      <c r="H71" s="42" t="s">
        <v>41</v>
      </c>
      <c r="I71" s="43">
        <v>0</v>
      </c>
      <c r="J71" s="43">
        <v>0</v>
      </c>
      <c r="K71" s="44">
        <f>Ocio22[[#This Row],[REAL]]-Ocio22[[#This Row],[PLANIFICADO]]</f>
        <v>0</v>
      </c>
    </row>
    <row r="72" spans="2:11" ht="15.75" customHeight="1" x14ac:dyDescent="0.35">
      <c r="B72" s="30"/>
      <c r="G72" s="45"/>
      <c r="H72" s="42" t="s">
        <v>15</v>
      </c>
      <c r="I72" s="43"/>
      <c r="J72" s="43"/>
      <c r="K72" s="44">
        <f>Ocio22[[#This Row],[REAL]]-Ocio22[[#This Row],[PLANIFICADO]]</f>
        <v>0</v>
      </c>
    </row>
    <row r="73" spans="2:11" ht="15.75" customHeight="1" x14ac:dyDescent="0.35">
      <c r="B73" s="30"/>
      <c r="G73" s="45"/>
      <c r="H73" s="42" t="s">
        <v>15</v>
      </c>
      <c r="I73" s="43"/>
      <c r="J73" s="43"/>
      <c r="K73" s="44">
        <f>Ocio22[[#This Row],[REAL]]-Ocio22[[#This Row],[PLANIFICADO]]</f>
        <v>0</v>
      </c>
    </row>
    <row r="74" spans="2:11" ht="15.75" customHeight="1" x14ac:dyDescent="0.35">
      <c r="B74" s="30"/>
      <c r="C74" s="55" t="s">
        <v>42</v>
      </c>
      <c r="D74" s="39" t="s">
        <v>60</v>
      </c>
      <c r="E74" s="39" t="s">
        <v>3</v>
      </c>
      <c r="F74" s="40" t="s">
        <v>4</v>
      </c>
      <c r="G74" s="45"/>
      <c r="H74" s="42" t="s">
        <v>15</v>
      </c>
      <c r="I74" s="43"/>
      <c r="J74" s="43"/>
      <c r="K74" s="44">
        <f>Ocio22[[#This Row],[REAL]]-Ocio22[[#This Row],[PLANIFICADO]]</f>
        <v>0</v>
      </c>
    </row>
    <row r="75" spans="2:11" ht="15.75" customHeight="1" x14ac:dyDescent="0.35">
      <c r="B75" s="30"/>
      <c r="C75" s="42" t="s">
        <v>43</v>
      </c>
      <c r="D75" s="46">
        <v>0</v>
      </c>
      <c r="E75" s="46">
        <v>60</v>
      </c>
      <c r="F75" s="47">
        <f>CuidadoPersonal21[[#This Row],[REAL]]-CuidadoPersonal21[[#This Row],[PLANIFICADO]]</f>
        <v>60</v>
      </c>
      <c r="G75" s="45"/>
      <c r="H75" s="89" t="s">
        <v>16</v>
      </c>
      <c r="I75" s="92">
        <f>SUBTOTAL(109,Ocio22[PLANIFICADO])</f>
        <v>21</v>
      </c>
      <c r="J75" s="90">
        <f>SUBTOTAL(109,Ocio22[REAL])</f>
        <v>51</v>
      </c>
      <c r="K75" s="91">
        <f>SUBTOTAL(109,Ocio22[DIFERENCIA])</f>
        <v>30</v>
      </c>
    </row>
    <row r="76" spans="2:11" ht="15.75" customHeight="1" x14ac:dyDescent="0.35">
      <c r="B76" s="30"/>
      <c r="C76" s="42" t="s">
        <v>44</v>
      </c>
      <c r="D76" s="46">
        <v>0</v>
      </c>
      <c r="E76" s="46">
        <v>0</v>
      </c>
      <c r="F76" s="47">
        <f>CuidadoPersonal21[[#This Row],[REAL]]-CuidadoPersonal21[[#This Row],[PLANIFICADO]]</f>
        <v>0</v>
      </c>
      <c r="G76" s="45"/>
      <c r="H76" s="67"/>
      <c r="I76" s="68"/>
      <c r="J76" s="68"/>
      <c r="K76" s="69"/>
    </row>
    <row r="77" spans="2:11" ht="15.75" customHeight="1" x14ac:dyDescent="0.35">
      <c r="B77" s="30"/>
      <c r="C77" s="42" t="s">
        <v>45</v>
      </c>
      <c r="D77" s="46">
        <v>0</v>
      </c>
      <c r="E77" s="46">
        <v>0</v>
      </c>
      <c r="F77" s="47">
        <f>CuidadoPersonal21[[#This Row],[REAL]]-CuidadoPersonal21[[#This Row],[PLANIFICADO]]</f>
        <v>0</v>
      </c>
      <c r="G77" s="45"/>
      <c r="H77" s="67"/>
      <c r="I77" s="68"/>
      <c r="J77" s="68"/>
      <c r="K77" s="69"/>
    </row>
    <row r="78" spans="2:11" ht="15.75" customHeight="1" x14ac:dyDescent="0.35">
      <c r="B78" s="30"/>
      <c r="C78" s="42" t="s">
        <v>46</v>
      </c>
      <c r="D78" s="46">
        <v>0</v>
      </c>
      <c r="E78" s="46">
        <v>0</v>
      </c>
      <c r="F78" s="47">
        <f>CuidadoPersonal21[[#This Row],[REAL]]-CuidadoPersonal21[[#This Row],[PLANIFICADO]]</f>
        <v>0</v>
      </c>
      <c r="G78" s="45"/>
      <c r="H78" s="67"/>
      <c r="I78" s="68"/>
      <c r="J78" s="68"/>
      <c r="K78" s="69"/>
    </row>
    <row r="79" spans="2:11" ht="15.75" customHeight="1" x14ac:dyDescent="0.35">
      <c r="B79" s="30"/>
      <c r="C79" s="42" t="s">
        <v>47</v>
      </c>
      <c r="D79" s="46">
        <v>45</v>
      </c>
      <c r="E79" s="46">
        <v>45</v>
      </c>
      <c r="F79" s="47">
        <f>CuidadoPersonal21[[#This Row],[REAL]]-CuidadoPersonal21[[#This Row],[PLANIFICADO]]</f>
        <v>0</v>
      </c>
      <c r="G79" s="45"/>
      <c r="H79" s="67"/>
      <c r="I79" s="68"/>
      <c r="J79" s="68"/>
      <c r="K79" s="69"/>
    </row>
    <row r="80" spans="2:11" ht="15.75" customHeight="1" x14ac:dyDescent="0.35">
      <c r="B80" s="30"/>
      <c r="C80" s="42" t="s">
        <v>48</v>
      </c>
      <c r="D80" s="46">
        <v>0</v>
      </c>
      <c r="E80" s="46">
        <v>0</v>
      </c>
      <c r="F80" s="47">
        <f>CuidadoPersonal21[[#This Row],[REAL]]-CuidadoPersonal21[[#This Row],[PLANIFICADO]]</f>
        <v>0</v>
      </c>
      <c r="G80" s="45"/>
      <c r="H80" s="68"/>
      <c r="I80" s="68"/>
      <c r="J80" s="68"/>
      <c r="K80" s="68"/>
    </row>
    <row r="81" spans="2:11" ht="15.75" customHeight="1" x14ac:dyDescent="0.35">
      <c r="B81" s="30"/>
      <c r="C81" s="42" t="s">
        <v>15</v>
      </c>
      <c r="D81" s="46">
        <v>0</v>
      </c>
      <c r="E81" s="46">
        <v>0</v>
      </c>
      <c r="F81" s="47">
        <f>CuidadoPersonal21[[#This Row],[REAL]]-CuidadoPersonal21[[#This Row],[PLANIFICADO]]</f>
        <v>0</v>
      </c>
      <c r="G81" s="30"/>
      <c r="H81" s="70"/>
      <c r="I81" s="70"/>
      <c r="J81" s="70"/>
      <c r="K81" s="70"/>
    </row>
    <row r="82" spans="2:11" ht="15.75" customHeight="1" x14ac:dyDescent="0.35">
      <c r="B82" s="30"/>
      <c r="C82" s="89" t="s">
        <v>16</v>
      </c>
      <c r="D82" s="90">
        <f>SUBTOTAL(109,CuidadoPersonal21[PLANIFICADO])</f>
        <v>45</v>
      </c>
      <c r="E82" s="90">
        <f>SUBTOTAL(109,CuidadoPersonal21[REAL])</f>
        <v>105</v>
      </c>
      <c r="F82" s="91">
        <f>SUBTOTAL(109,CuidadoPersonal21[DIFERENCIA])</f>
        <v>60</v>
      </c>
      <c r="G82" s="30"/>
    </row>
    <row r="83" spans="2:11" ht="15.75" customHeight="1" x14ac:dyDescent="0.35">
      <c r="B83" s="30"/>
      <c r="G83" s="30"/>
    </row>
    <row r="84" spans="2:11" ht="15.75" customHeight="1" x14ac:dyDescent="0.35">
      <c r="B84" s="30"/>
      <c r="G84" s="30"/>
    </row>
    <row r="85" spans="2:11" ht="15.75" customHeight="1" x14ac:dyDescent="0.35">
      <c r="B85" s="30"/>
      <c r="G85" s="30"/>
    </row>
    <row r="86" spans="2:11" ht="15.75" customHeight="1" x14ac:dyDescent="0.35"/>
  </sheetData>
  <mergeCells count="21">
    <mergeCell ref="U50:W51"/>
    <mergeCell ref="X50:X51"/>
    <mergeCell ref="Q51:R51"/>
    <mergeCell ref="C57:F57"/>
    <mergeCell ref="H81:K81"/>
    <mergeCell ref="O46:Q47"/>
    <mergeCell ref="R46:R47"/>
    <mergeCell ref="U46:W47"/>
    <mergeCell ref="X46:X47"/>
    <mergeCell ref="C47:F47"/>
    <mergeCell ref="U48:W49"/>
    <mergeCell ref="X48:X49"/>
    <mergeCell ref="P49:P51"/>
    <mergeCell ref="Q49:R49"/>
    <mergeCell ref="Q50:R50"/>
    <mergeCell ref="C3:E3"/>
    <mergeCell ref="G3:J3"/>
    <mergeCell ref="O42:Q43"/>
    <mergeCell ref="R42:R43"/>
    <mergeCell ref="O44:Q45"/>
    <mergeCell ref="R44:R45"/>
  </mergeCells>
  <pageMargins left="0.5" right="0.5" top="0.5" bottom="0.5" header="0.5" footer="0.5"/>
  <pageSetup orientation="landscape" horizontalDpi="4294967292" r:id="rId1"/>
  <headerFooter alignWithMargins="0"/>
  <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DC781982-A04E-4282-A79B-6AAAD64D9718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F17:F24</xm:sqref>
        </x14:conditionalFormatting>
        <x14:conditionalFormatting xmlns:xm="http://schemas.microsoft.com/office/excel/2006/main">
          <x14:cfRule type="iconSet" priority="1" id="{1B4E5DF2-A4EB-4FF0-8987-167C737F75A1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F75:F82 F66:F71 F59:F62 K59:K63 K52:K55 K45:K49 K36:K42 F36:F46 F49:F56 K66:K80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</vt:lpstr>
      <vt:lpstr>Presupuesto Personal</vt:lpstr>
      <vt:lpstr>Ejemplo</vt:lpstr>
      <vt:lpstr>Ejemplo!Área_de_impresión</vt:lpstr>
      <vt:lpstr>'Presupuesto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Marines de la Torre</cp:lastModifiedBy>
  <dcterms:created xsi:type="dcterms:W3CDTF">2018-12-06T14:27:06Z</dcterms:created>
  <dcterms:modified xsi:type="dcterms:W3CDTF">2023-08-31T21:47:59Z</dcterms:modified>
</cp:coreProperties>
</file>